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75" yWindow="-15" windowWidth="19320" windowHeight="11625" tabRatio="575" activeTab="2"/>
  </bookViews>
  <sheets>
    <sheet name="Parameters" sheetId="10" r:id="rId1"/>
    <sheet name="Summary Sheet" sheetId="3" r:id="rId2"/>
    <sheet name="Compiled Information" sheetId="2" r:id="rId3"/>
    <sheet name="OE Programs" sheetId="8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discount_rate">Parameters!$B$4</definedName>
    <definedName name="GHG_electricity">Parameters!$B$6</definedName>
    <definedName name="GHG_gas">Parameters!$B$7</definedName>
    <definedName name="lifespan">Parameters!$B$5</definedName>
  </definedNames>
  <calcPr calcId="125725"/>
</workbook>
</file>

<file path=xl/calcChain.xml><?xml version="1.0" encoding="utf-8"?>
<calcChain xmlns="http://schemas.openxmlformats.org/spreadsheetml/2006/main">
  <c r="B6" i="10"/>
  <c r="B7"/>
  <c r="J5" i="2"/>
  <c r="J17"/>
  <c r="J52" s="1"/>
  <c r="C8" i="3" s="1"/>
  <c r="K18" i="2"/>
  <c r="K52"/>
  <c r="D8" i="3" s="1"/>
  <c r="L52" i="2"/>
  <c r="E8" i="3" s="1"/>
  <c r="M52" i="2"/>
  <c r="F8" i="3" s="1"/>
  <c r="N23" i="2"/>
  <c r="N24"/>
  <c r="N52"/>
  <c r="G8" i="3" s="1"/>
  <c r="O27" i="2"/>
  <c r="O52" s="1"/>
  <c r="H8" i="3" s="1"/>
  <c r="Q8" i="2"/>
  <c r="Q16"/>
  <c r="Q19"/>
  <c r="Q20"/>
  <c r="Q21"/>
  <c r="Q22"/>
  <c r="Q25"/>
  <c r="Q26"/>
  <c r="AB35"/>
  <c r="Q35"/>
  <c r="AB46"/>
  <c r="Q46"/>
  <c r="BO46" s="1"/>
  <c r="AU46" s="1"/>
  <c r="AB47"/>
  <c r="Q47"/>
  <c r="AB49"/>
  <c r="Q49"/>
  <c r="AB50"/>
  <c r="Q50"/>
  <c r="BO3"/>
  <c r="BO4"/>
  <c r="BO5"/>
  <c r="BO6"/>
  <c r="BO7"/>
  <c r="BO8"/>
  <c r="BO9"/>
  <c r="BO10"/>
  <c r="BO11"/>
  <c r="BO12"/>
  <c r="BO13"/>
  <c r="BO14"/>
  <c r="BO15"/>
  <c r="BI52"/>
  <c r="BJ52"/>
  <c r="BK52"/>
  <c r="BL52"/>
  <c r="BI16"/>
  <c r="BO16"/>
  <c r="AQ16"/>
  <c r="BO17"/>
  <c r="AQ17"/>
  <c r="BO18"/>
  <c r="AQ18"/>
  <c r="BI19"/>
  <c r="BO19"/>
  <c r="BO20"/>
  <c r="BI21"/>
  <c r="BO21"/>
  <c r="AQ21"/>
  <c r="BO22"/>
  <c r="BO23"/>
  <c r="AQ23" s="1"/>
  <c r="BO24"/>
  <c r="BO25"/>
  <c r="AQ25" s="1"/>
  <c r="BO26"/>
  <c r="BO27"/>
  <c r="BO28"/>
  <c r="BI29"/>
  <c r="BO29"/>
  <c r="AQ29"/>
  <c r="BO30"/>
  <c r="AQ30"/>
  <c r="U53"/>
  <c r="BI53"/>
  <c r="V53"/>
  <c r="BJ53"/>
  <c r="W53"/>
  <c r="BK53"/>
  <c r="X53"/>
  <c r="BL53"/>
  <c r="BO31"/>
  <c r="AU31" s="1"/>
  <c r="BI32"/>
  <c r="BO32"/>
  <c r="AQ32"/>
  <c r="BO33"/>
  <c r="AQ33"/>
  <c r="BO34"/>
  <c r="AQ34"/>
  <c r="BO35"/>
  <c r="AU35" s="1"/>
  <c r="BO36"/>
  <c r="BO37"/>
  <c r="BO38"/>
  <c r="BO39"/>
  <c r="BO40"/>
  <c r="BO41"/>
  <c r="BO42"/>
  <c r="BO43"/>
  <c r="BO44"/>
  <c r="BO45"/>
  <c r="BI46"/>
  <c r="AQ46" s="1"/>
  <c r="BO47"/>
  <c r="AV47" s="1"/>
  <c r="BO48"/>
  <c r="BO49"/>
  <c r="AQ49" s="1"/>
  <c r="BO50"/>
  <c r="J53"/>
  <c r="K53"/>
  <c r="L53"/>
  <c r="E10" i="3" s="1"/>
  <c r="M53" i="2"/>
  <c r="N53"/>
  <c r="G10" i="3" s="1"/>
  <c r="O53" i="2"/>
  <c r="P53"/>
  <c r="AV51" s="1"/>
  <c r="AR3"/>
  <c r="AR5"/>
  <c r="AR7"/>
  <c r="AR9"/>
  <c r="AR11"/>
  <c r="AR13"/>
  <c r="AR15"/>
  <c r="AR17"/>
  <c r="AR18"/>
  <c r="BJ19"/>
  <c r="AR19"/>
  <c r="BJ21"/>
  <c r="BJ22"/>
  <c r="AR22" s="1"/>
  <c r="AR23"/>
  <c r="AR25"/>
  <c r="AR27"/>
  <c r="AR29"/>
  <c r="BJ30"/>
  <c r="AR30"/>
  <c r="AR33"/>
  <c r="AR34"/>
  <c r="AR37"/>
  <c r="AR39"/>
  <c r="AR41"/>
  <c r="AR43"/>
  <c r="AR45"/>
  <c r="AR49"/>
  <c r="AS4"/>
  <c r="AS6"/>
  <c r="BM52"/>
  <c r="BK7"/>
  <c r="AS7" s="1"/>
  <c r="BN52"/>
  <c r="AS10"/>
  <c r="AS12"/>
  <c r="AS14"/>
  <c r="BK16"/>
  <c r="AS17"/>
  <c r="AS18"/>
  <c r="AS19"/>
  <c r="BK20"/>
  <c r="AS20"/>
  <c r="AS23"/>
  <c r="BK25"/>
  <c r="AS25" s="1"/>
  <c r="BK26"/>
  <c r="AS27"/>
  <c r="BK29"/>
  <c r="AS29" s="1"/>
  <c r="AS30"/>
  <c r="AS33"/>
  <c r="AS34"/>
  <c r="AS37"/>
  <c r="AS39"/>
  <c r="AS41"/>
  <c r="AS43"/>
  <c r="AS45"/>
  <c r="AS49"/>
  <c r="AS51"/>
  <c r="AT4"/>
  <c r="AT6"/>
  <c r="BL8"/>
  <c r="AT8" s="1"/>
  <c r="AT9"/>
  <c r="AT11"/>
  <c r="AT13"/>
  <c r="AT15"/>
  <c r="AT17"/>
  <c r="AT18"/>
  <c r="AT20"/>
  <c r="AT23"/>
  <c r="AT25"/>
  <c r="AT27"/>
  <c r="AT29"/>
  <c r="BL30"/>
  <c r="AT30"/>
  <c r="AT33"/>
  <c r="AT34"/>
  <c r="AT37"/>
  <c r="AT39"/>
  <c r="AT41"/>
  <c r="AT43"/>
  <c r="AT45"/>
  <c r="AT49"/>
  <c r="AT51"/>
  <c r="AU4"/>
  <c r="AU6"/>
  <c r="AU10"/>
  <c r="AU12"/>
  <c r="AU14"/>
  <c r="AU16"/>
  <c r="AU17"/>
  <c r="AU18"/>
  <c r="AU20"/>
  <c r="AU21"/>
  <c r="AU22"/>
  <c r="AU24"/>
  <c r="AU28"/>
  <c r="AU29"/>
  <c r="AU30"/>
  <c r="AU32"/>
  <c r="AU36"/>
  <c r="AU38"/>
  <c r="AU40"/>
  <c r="BM42"/>
  <c r="AU43"/>
  <c r="AU45"/>
  <c r="AU47"/>
  <c r="BM49"/>
  <c r="AU49" s="1"/>
  <c r="BM50"/>
  <c r="AU51"/>
  <c r="AV4"/>
  <c r="AV6"/>
  <c r="BN8"/>
  <c r="AV8" s="1"/>
  <c r="AV9"/>
  <c r="AV11"/>
  <c r="AV13"/>
  <c r="AV15"/>
  <c r="AV16"/>
  <c r="AV17"/>
  <c r="AV18"/>
  <c r="AV19"/>
  <c r="AV21"/>
  <c r="AV23"/>
  <c r="AV25"/>
  <c r="AV27"/>
  <c r="AV29"/>
  <c r="AV30"/>
  <c r="AV31"/>
  <c r="AV32"/>
  <c r="BN33"/>
  <c r="BN34"/>
  <c r="AV34" s="1"/>
  <c r="AV35"/>
  <c r="AV37"/>
  <c r="AV39"/>
  <c r="AV41"/>
  <c r="AV44"/>
  <c r="AV46"/>
  <c r="AV48"/>
  <c r="D10" i="3"/>
  <c r="F10"/>
  <c r="H10"/>
  <c r="U5" i="2"/>
  <c r="AZ5" s="1"/>
  <c r="BF5" s="1"/>
  <c r="U17"/>
  <c r="U52"/>
  <c r="C23" i="3" s="1"/>
  <c r="V3" i="2"/>
  <c r="V4"/>
  <c r="V18"/>
  <c r="W52"/>
  <c r="E23" i="3"/>
  <c r="X52" i="2"/>
  <c r="F23" i="3"/>
  <c r="Y23" i="2"/>
  <c r="Y24"/>
  <c r="Z27"/>
  <c r="Z52"/>
  <c r="H23" i="3" s="1"/>
  <c r="AB8" i="2"/>
  <c r="BP8" s="1"/>
  <c r="AB16"/>
  <c r="AB19"/>
  <c r="BP19" s="1"/>
  <c r="AB20"/>
  <c r="AB21"/>
  <c r="BP21" s="1"/>
  <c r="BE21" s="1"/>
  <c r="AB22"/>
  <c r="AB25"/>
  <c r="BP25" s="1"/>
  <c r="AB26"/>
  <c r="AB52"/>
  <c r="I23" i="3" s="1"/>
  <c r="BP3" i="2"/>
  <c r="AZ3"/>
  <c r="BP4"/>
  <c r="AZ4"/>
  <c r="BP5"/>
  <c r="BP6"/>
  <c r="AZ6"/>
  <c r="BP7"/>
  <c r="AZ7"/>
  <c r="AZ8"/>
  <c r="BP9"/>
  <c r="AZ9"/>
  <c r="BP10"/>
  <c r="AZ10"/>
  <c r="BP11"/>
  <c r="AZ11"/>
  <c r="BP12"/>
  <c r="AZ12"/>
  <c r="BP13"/>
  <c r="AZ13"/>
  <c r="BP14"/>
  <c r="AZ14"/>
  <c r="BP15"/>
  <c r="AZ15"/>
  <c r="BP16"/>
  <c r="AZ16"/>
  <c r="BP17"/>
  <c r="AZ17"/>
  <c r="BP18"/>
  <c r="AZ18"/>
  <c r="BP20"/>
  <c r="AZ20"/>
  <c r="AZ21"/>
  <c r="BP22"/>
  <c r="BP23"/>
  <c r="AZ23"/>
  <c r="BP24"/>
  <c r="AZ24"/>
  <c r="BP26"/>
  <c r="AZ26"/>
  <c r="BP27"/>
  <c r="AZ27"/>
  <c r="BP28"/>
  <c r="AZ28"/>
  <c r="BP29"/>
  <c r="AZ29"/>
  <c r="BP30"/>
  <c r="AZ30"/>
  <c r="BP31"/>
  <c r="BP32"/>
  <c r="AZ32"/>
  <c r="BP33"/>
  <c r="AZ33"/>
  <c r="BP34"/>
  <c r="AZ34"/>
  <c r="BP35"/>
  <c r="BP36"/>
  <c r="AZ36"/>
  <c r="BP37"/>
  <c r="AZ37"/>
  <c r="BP38"/>
  <c r="AZ38"/>
  <c r="BP39"/>
  <c r="AZ39"/>
  <c r="BP40"/>
  <c r="AZ40"/>
  <c r="BP41"/>
  <c r="AZ41"/>
  <c r="BP42"/>
  <c r="AZ42"/>
  <c r="BP43"/>
  <c r="AZ43"/>
  <c r="BP44"/>
  <c r="AZ44"/>
  <c r="BP45"/>
  <c r="AZ45"/>
  <c r="BP46"/>
  <c r="AZ46"/>
  <c r="BP47"/>
  <c r="BP48"/>
  <c r="AZ48"/>
  <c r="BP49"/>
  <c r="AZ49"/>
  <c r="BP50"/>
  <c r="AZ50"/>
  <c r="Y53"/>
  <c r="Z53"/>
  <c r="BA4"/>
  <c r="BA5"/>
  <c r="BA6"/>
  <c r="BA7"/>
  <c r="BA8"/>
  <c r="BA9"/>
  <c r="BA10"/>
  <c r="BA11"/>
  <c r="BA12"/>
  <c r="BA13"/>
  <c r="BA14"/>
  <c r="BA15"/>
  <c r="BA17"/>
  <c r="BA18"/>
  <c r="BA20"/>
  <c r="BA22"/>
  <c r="BA23"/>
  <c r="BA24"/>
  <c r="BA26"/>
  <c r="BA27"/>
  <c r="BA28"/>
  <c r="BA29"/>
  <c r="BA30"/>
  <c r="BA33"/>
  <c r="BA34"/>
  <c r="BA36"/>
  <c r="BA37"/>
  <c r="BA38"/>
  <c r="BA39"/>
  <c r="BA40"/>
  <c r="BA41"/>
  <c r="BA42"/>
  <c r="BA43"/>
  <c r="BA44"/>
  <c r="BA45"/>
  <c r="BA48"/>
  <c r="BA49"/>
  <c r="BA50"/>
  <c r="BB3"/>
  <c r="BB4"/>
  <c r="BB5"/>
  <c r="BB6"/>
  <c r="BB7"/>
  <c r="BB9"/>
  <c r="BB10"/>
  <c r="BB11"/>
  <c r="BB12"/>
  <c r="BB13"/>
  <c r="BB14"/>
  <c r="BB15"/>
  <c r="BB17"/>
  <c r="BB18"/>
  <c r="BB19"/>
  <c r="BB20"/>
  <c r="BB22"/>
  <c r="BB23"/>
  <c r="BB24"/>
  <c r="BB25"/>
  <c r="BB27"/>
  <c r="BB28"/>
  <c r="BB29"/>
  <c r="BB30"/>
  <c r="BB33"/>
  <c r="BB34"/>
  <c r="BB36"/>
  <c r="BB37"/>
  <c r="BB38"/>
  <c r="BB39"/>
  <c r="BB40"/>
  <c r="BB41"/>
  <c r="BB42"/>
  <c r="BB43"/>
  <c r="BB44"/>
  <c r="BB45"/>
  <c r="BB48"/>
  <c r="BB49"/>
  <c r="BB50"/>
  <c r="BC3"/>
  <c r="BC4"/>
  <c r="BC5"/>
  <c r="BC6"/>
  <c r="BC7"/>
  <c r="BC8"/>
  <c r="BC9"/>
  <c r="BC10"/>
  <c r="BC11"/>
  <c r="BC12"/>
  <c r="BC13"/>
  <c r="BC14"/>
  <c r="BC15"/>
  <c r="BC17"/>
  <c r="BC18"/>
  <c r="BC20"/>
  <c r="BC22"/>
  <c r="BC23"/>
  <c r="BC24"/>
  <c r="BC26"/>
  <c r="BC27"/>
  <c r="BC28"/>
  <c r="BC29"/>
  <c r="BC30"/>
  <c r="BC33"/>
  <c r="BC34"/>
  <c r="BC36"/>
  <c r="BC37"/>
  <c r="BC38"/>
  <c r="BC39"/>
  <c r="BC40"/>
  <c r="BC41"/>
  <c r="BC42"/>
  <c r="BC43"/>
  <c r="BC44"/>
  <c r="BC45"/>
  <c r="BC48"/>
  <c r="BC49"/>
  <c r="BC50"/>
  <c r="BD3"/>
  <c r="BD4"/>
  <c r="BD5"/>
  <c r="BD6"/>
  <c r="BD9"/>
  <c r="BD10"/>
  <c r="BD11"/>
  <c r="BD12"/>
  <c r="BD13"/>
  <c r="BD14"/>
  <c r="BD15"/>
  <c r="BD16"/>
  <c r="BD17"/>
  <c r="BD18"/>
  <c r="BD19"/>
  <c r="BD20"/>
  <c r="BD21"/>
  <c r="BD22"/>
  <c r="BD23"/>
  <c r="BD27"/>
  <c r="BD28"/>
  <c r="BD29"/>
  <c r="BD30"/>
  <c r="BD31"/>
  <c r="BD32"/>
  <c r="BD35"/>
  <c r="BD36"/>
  <c r="BD37"/>
  <c r="BD38"/>
  <c r="BD39"/>
  <c r="BD40"/>
  <c r="BD41"/>
  <c r="BD43"/>
  <c r="BD44"/>
  <c r="BD45"/>
  <c r="BD46"/>
  <c r="BD47"/>
  <c r="BD48"/>
  <c r="BD49"/>
  <c r="BE3"/>
  <c r="BE4"/>
  <c r="BE5"/>
  <c r="BE6"/>
  <c r="BE7"/>
  <c r="BE8"/>
  <c r="BE9"/>
  <c r="BE10"/>
  <c r="BE11"/>
  <c r="BE12"/>
  <c r="BE13"/>
  <c r="BE14"/>
  <c r="BE15"/>
  <c r="BE16"/>
  <c r="BE17"/>
  <c r="BE18"/>
  <c r="BE20"/>
  <c r="BE22"/>
  <c r="BE23"/>
  <c r="BE24"/>
  <c r="BE26"/>
  <c r="BE27"/>
  <c r="BE28"/>
  <c r="BE29"/>
  <c r="BE30"/>
  <c r="BE31"/>
  <c r="BE32"/>
  <c r="BE34"/>
  <c r="BE35"/>
  <c r="BE36"/>
  <c r="BE37"/>
  <c r="BE38"/>
  <c r="BE39"/>
  <c r="BE40"/>
  <c r="BE41"/>
  <c r="BE43"/>
  <c r="BE44"/>
  <c r="BE45"/>
  <c r="BE46"/>
  <c r="BE47"/>
  <c r="BE48"/>
  <c r="C25" i="3"/>
  <c r="D25"/>
  <c r="E25"/>
  <c r="F25"/>
  <c r="G25"/>
  <c r="H25"/>
  <c r="AW18" i="2"/>
  <c r="AW29"/>
  <c r="AW30"/>
  <c r="BF4"/>
  <c r="BF6"/>
  <c r="BF9"/>
  <c r="BF10"/>
  <c r="BF11"/>
  <c r="BF12"/>
  <c r="BF13"/>
  <c r="BF14"/>
  <c r="D58" i="3"/>
  <c r="BF15" i="2"/>
  <c r="E58" i="3"/>
  <c r="BF17" i="2"/>
  <c r="BF18"/>
  <c r="BF20"/>
  <c r="BF23"/>
  <c r="BF27"/>
  <c r="BF28"/>
  <c r="BF29"/>
  <c r="BF30"/>
  <c r="BF36"/>
  <c r="BF37"/>
  <c r="BF38"/>
  <c r="BF39"/>
  <c r="BF40"/>
  <c r="BF41"/>
  <c r="BF43"/>
  <c r="BF44"/>
  <c r="BF45"/>
  <c r="BF48"/>
  <c r="AG3"/>
  <c r="AL3"/>
  <c r="AG4"/>
  <c r="AL4"/>
  <c r="AL5"/>
  <c r="AL6"/>
  <c r="AL7"/>
  <c r="AM8"/>
  <c r="AL8"/>
  <c r="C59" i="3"/>
  <c r="AL9" i="2"/>
  <c r="AL10"/>
  <c r="AL11"/>
  <c r="AL12"/>
  <c r="AL13"/>
  <c r="AL14"/>
  <c r="D59" i="3"/>
  <c r="AM15" i="2"/>
  <c r="AL15"/>
  <c r="E59" i="3" s="1"/>
  <c r="AM16" i="2"/>
  <c r="AL16" s="1"/>
  <c r="AM17"/>
  <c r="AL17" s="1"/>
  <c r="AM18"/>
  <c r="AL18" s="1"/>
  <c r="AM19"/>
  <c r="AL19"/>
  <c r="AM20"/>
  <c r="AL20"/>
  <c r="AM21"/>
  <c r="AL21"/>
  <c r="AM22"/>
  <c r="AL22"/>
  <c r="AM23"/>
  <c r="AL23"/>
  <c r="AM24"/>
  <c r="AL24"/>
  <c r="AM25"/>
  <c r="AL25"/>
  <c r="AM26"/>
  <c r="AL26"/>
  <c r="AM27"/>
  <c r="AL27"/>
  <c r="AM28"/>
  <c r="AL28"/>
  <c r="AL29"/>
  <c r="AL30"/>
  <c r="AL31"/>
  <c r="AL32"/>
  <c r="AL33"/>
  <c r="AL34"/>
  <c r="AM35"/>
  <c r="AL35"/>
  <c r="AL36"/>
  <c r="AL37"/>
  <c r="AL38"/>
  <c r="AL39"/>
  <c r="AL40"/>
  <c r="AL41"/>
  <c r="AL42"/>
  <c r="AL43"/>
  <c r="AL44"/>
  <c r="AM45"/>
  <c r="AL45"/>
  <c r="AM46"/>
  <c r="AL46"/>
  <c r="G59" i="3" s="1"/>
  <c r="C105" s="1"/>
  <c r="AM47" i="2"/>
  <c r="AL47" s="1"/>
  <c r="AM48"/>
  <c r="AL48"/>
  <c r="AM49"/>
  <c r="AL49"/>
  <c r="AM50"/>
  <c r="AL50"/>
  <c r="AM51"/>
  <c r="AL51"/>
  <c r="BU3"/>
  <c r="BT3"/>
  <c r="BU4"/>
  <c r="BT4"/>
  <c r="BT6"/>
  <c r="BT7"/>
  <c r="BT8"/>
  <c r="C60" i="3"/>
  <c r="D60"/>
  <c r="E60"/>
  <c r="BT16" i="2"/>
  <c r="BT17"/>
  <c r="BT18"/>
  <c r="BT19"/>
  <c r="BT20"/>
  <c r="BT21"/>
  <c r="BT22"/>
  <c r="BT23"/>
  <c r="BT24"/>
  <c r="BT25"/>
  <c r="BT26"/>
  <c r="BT27"/>
  <c r="BT28"/>
  <c r="BT29"/>
  <c r="BT30"/>
  <c r="BT31"/>
  <c r="BT32"/>
  <c r="BT33"/>
  <c r="BT34"/>
  <c r="F60" i="3"/>
  <c r="G60"/>
  <c r="H60"/>
  <c r="I60" s="1"/>
  <c r="BS3" i="2"/>
  <c r="BS6"/>
  <c r="BS7"/>
  <c r="BS8"/>
  <c r="C61" i="3"/>
  <c r="D61"/>
  <c r="E61"/>
  <c r="BS16" i="2"/>
  <c r="BS17"/>
  <c r="BS18"/>
  <c r="BS19"/>
  <c r="BS20"/>
  <c r="BS21"/>
  <c r="BS22"/>
  <c r="BS23"/>
  <c r="BS24"/>
  <c r="BS25"/>
  <c r="BS26"/>
  <c r="BS27"/>
  <c r="BS28"/>
  <c r="BS29"/>
  <c r="BS30"/>
  <c r="BS31"/>
  <c r="BS32"/>
  <c r="BS33"/>
  <c r="BS34"/>
  <c r="F61" i="3"/>
  <c r="G61"/>
  <c r="H61"/>
  <c r="BR6" i="2"/>
  <c r="C62" i="3" s="1"/>
  <c r="BR7" i="2"/>
  <c r="BR8"/>
  <c r="D62" i="3"/>
  <c r="E62"/>
  <c r="BR16" i="2"/>
  <c r="BR17"/>
  <c r="BR18"/>
  <c r="BR19"/>
  <c r="BR20"/>
  <c r="BR21"/>
  <c r="BR22"/>
  <c r="BR23"/>
  <c r="BR24"/>
  <c r="BR25"/>
  <c r="BR26"/>
  <c r="BR27"/>
  <c r="BR28"/>
  <c r="BR29"/>
  <c r="BR30"/>
  <c r="BR31"/>
  <c r="BR32"/>
  <c r="BR33"/>
  <c r="BR34"/>
  <c r="F62" i="3" s="1"/>
  <c r="G62"/>
  <c r="H62"/>
  <c r="AF52" i="2"/>
  <c r="AG52"/>
  <c r="AH52"/>
  <c r="AI52"/>
  <c r="AJ52"/>
  <c r="AK52"/>
  <c r="AM52"/>
  <c r="AL52" s="1"/>
  <c r="AA3"/>
  <c r="BV3" s="1"/>
  <c r="AA4"/>
  <c r="BV4" s="1"/>
  <c r="BX4" s="1"/>
  <c r="AA5"/>
  <c r="BV5" s="1"/>
  <c r="BX5" s="1"/>
  <c r="AA6"/>
  <c r="BV6" s="1"/>
  <c r="AA7"/>
  <c r="BV7" s="1"/>
  <c r="BX7" s="1"/>
  <c r="AA8"/>
  <c r="BV8" s="1"/>
  <c r="BX8" s="1"/>
  <c r="AA9"/>
  <c r="BV9" s="1"/>
  <c r="BX9" s="1"/>
  <c r="AA10"/>
  <c r="BV10" s="1"/>
  <c r="BX10" s="1"/>
  <c r="AA11"/>
  <c r="BV11" s="1"/>
  <c r="BX11" s="1"/>
  <c r="AA12"/>
  <c r="BV12" s="1"/>
  <c r="BX12" s="1"/>
  <c r="AA13"/>
  <c r="BV13" s="1"/>
  <c r="BX13" s="1"/>
  <c r="AA14"/>
  <c r="BV14" s="1"/>
  <c r="BX14" s="1"/>
  <c r="AA15"/>
  <c r="BV15" s="1"/>
  <c r="BX15" s="1"/>
  <c r="AA16"/>
  <c r="BV16" s="1"/>
  <c r="BX16" s="1"/>
  <c r="AA17"/>
  <c r="BV17" s="1"/>
  <c r="BX17" s="1"/>
  <c r="AA18"/>
  <c r="BV18" s="1"/>
  <c r="BX18" s="1"/>
  <c r="AA19"/>
  <c r="BV19" s="1"/>
  <c r="BX19" s="1"/>
  <c r="AA20"/>
  <c r="BV20" s="1"/>
  <c r="BX20" s="1"/>
  <c r="AA21"/>
  <c r="BV21" s="1"/>
  <c r="BX21" s="1"/>
  <c r="AA22"/>
  <c r="BV22" s="1"/>
  <c r="BX22" s="1"/>
  <c r="AA23"/>
  <c r="BV23" s="1"/>
  <c r="BX23" s="1"/>
  <c r="AA24"/>
  <c r="BV24" s="1"/>
  <c r="BX24" s="1"/>
  <c r="AA25"/>
  <c r="BV25" s="1"/>
  <c r="BX25" s="1"/>
  <c r="AA26"/>
  <c r="BV26" s="1"/>
  <c r="BX26" s="1"/>
  <c r="AA27"/>
  <c r="BV27" s="1"/>
  <c r="BX27" s="1"/>
  <c r="AA28"/>
  <c r="BV28" s="1"/>
  <c r="BX28" s="1"/>
  <c r="AA29"/>
  <c r="BV29" s="1"/>
  <c r="BX29" s="1"/>
  <c r="AA30"/>
  <c r="BV30" s="1"/>
  <c r="BX30" s="1"/>
  <c r="AA31"/>
  <c r="BV31" s="1"/>
  <c r="BX31" s="1"/>
  <c r="AA32"/>
  <c r="BV32" s="1"/>
  <c r="BX32" s="1"/>
  <c r="AA33"/>
  <c r="BV33" s="1"/>
  <c r="BX33" s="1"/>
  <c r="AA34"/>
  <c r="BV34" s="1"/>
  <c r="BX34" s="1"/>
  <c r="AA35"/>
  <c r="BV35" s="1"/>
  <c r="BX35" s="1"/>
  <c r="AA36"/>
  <c r="BV36" s="1"/>
  <c r="BX36" s="1"/>
  <c r="AA37"/>
  <c r="BV37" s="1"/>
  <c r="BX37" s="1"/>
  <c r="AA38"/>
  <c r="BV38" s="1"/>
  <c r="BX38" s="1"/>
  <c r="AA39"/>
  <c r="BV39" s="1"/>
  <c r="BX39" s="1"/>
  <c r="AA40"/>
  <c r="BV40" s="1"/>
  <c r="BX40" s="1"/>
  <c r="AA41"/>
  <c r="BV41" s="1"/>
  <c r="BX41" s="1"/>
  <c r="AA42"/>
  <c r="BV42" s="1"/>
  <c r="BX42" s="1"/>
  <c r="AA43"/>
  <c r="BV43" s="1"/>
  <c r="BX43" s="1"/>
  <c r="AA44"/>
  <c r="BV44" s="1"/>
  <c r="BX44" s="1"/>
  <c r="AA45"/>
  <c r="BV45" s="1"/>
  <c r="BX45" s="1"/>
  <c r="AA46"/>
  <c r="BV46" s="1"/>
  <c r="BX46" s="1"/>
  <c r="AA47"/>
  <c r="BV47" s="1"/>
  <c r="BX47" s="1"/>
  <c r="AA48"/>
  <c r="BV48" s="1"/>
  <c r="BX48" s="1"/>
  <c r="AA49"/>
  <c r="BV49" s="1"/>
  <c r="AA50"/>
  <c r="BV50" s="1"/>
  <c r="BX50" s="1"/>
  <c r="AA51"/>
  <c r="BV51" s="1"/>
  <c r="BX51" s="1"/>
  <c r="BW3"/>
  <c r="BW4"/>
  <c r="BW5"/>
  <c r="BW6"/>
  <c r="BW7"/>
  <c r="BW8"/>
  <c r="BW9"/>
  <c r="BW10"/>
  <c r="BW11"/>
  <c r="BW12"/>
  <c r="BW13"/>
  <c r="BW14"/>
  <c r="BW15"/>
  <c r="BW16"/>
  <c r="BW17"/>
  <c r="BW18"/>
  <c r="BW19"/>
  <c r="BW20"/>
  <c r="BW21"/>
  <c r="BW22"/>
  <c r="BW23"/>
  <c r="BW24"/>
  <c r="BW25"/>
  <c r="BW26"/>
  <c r="BW27"/>
  <c r="BW28"/>
  <c r="BW29"/>
  <c r="BW30"/>
  <c r="BW31"/>
  <c r="BW32"/>
  <c r="BW33"/>
  <c r="BW34"/>
  <c r="BW35"/>
  <c r="BW36"/>
  <c r="BW37"/>
  <c r="BW38"/>
  <c r="BW39"/>
  <c r="BW40"/>
  <c r="BW41"/>
  <c r="BW42"/>
  <c r="BW43"/>
  <c r="BW44"/>
  <c r="BW45"/>
  <c r="BW46"/>
  <c r="BW47"/>
  <c r="BW48"/>
  <c r="BW49"/>
  <c r="BW50"/>
  <c r="BW51"/>
  <c r="AE3"/>
  <c r="BG3"/>
  <c r="BH3"/>
  <c r="AE4"/>
  <c r="BG4"/>
  <c r="BH4"/>
  <c r="AE5"/>
  <c r="BG5"/>
  <c r="BH5"/>
  <c r="AC6"/>
  <c r="AD6"/>
  <c r="AE6" s="1"/>
  <c r="AE7"/>
  <c r="BG7"/>
  <c r="BH7"/>
  <c r="AE8"/>
  <c r="BG8"/>
  <c r="BH8"/>
  <c r="AE9"/>
  <c r="BG9"/>
  <c r="BH9"/>
  <c r="AE10"/>
  <c r="BG10"/>
  <c r="BH10"/>
  <c r="AE11"/>
  <c r="BG11"/>
  <c r="BH11"/>
  <c r="AE12"/>
  <c r="BG12"/>
  <c r="BH12"/>
  <c r="AE13"/>
  <c r="BG13"/>
  <c r="BH13"/>
  <c r="AE14"/>
  <c r="BG14"/>
  <c r="BH14"/>
  <c r="AE15"/>
  <c r="BG15"/>
  <c r="BH15"/>
  <c r="AE16"/>
  <c r="BG16"/>
  <c r="BH16"/>
  <c r="AE17"/>
  <c r="BG17"/>
  <c r="BH17"/>
  <c r="AE18"/>
  <c r="BG18"/>
  <c r="BH18"/>
  <c r="AE19"/>
  <c r="BG19"/>
  <c r="BH19"/>
  <c r="AE20"/>
  <c r="BG20"/>
  <c r="BH20"/>
  <c r="AE21"/>
  <c r="BG21"/>
  <c r="BH21"/>
  <c r="AE22"/>
  <c r="BG22"/>
  <c r="BH22"/>
  <c r="AE23"/>
  <c r="BG23"/>
  <c r="BH23"/>
  <c r="AE24"/>
  <c r="BG24"/>
  <c r="BH24"/>
  <c r="AE25"/>
  <c r="BG25"/>
  <c r="BH25"/>
  <c r="AE26"/>
  <c r="BG26"/>
  <c r="BH26"/>
  <c r="AE27"/>
  <c r="BG27"/>
  <c r="BH27"/>
  <c r="AE28"/>
  <c r="BG28"/>
  <c r="BH28"/>
  <c r="AE29"/>
  <c r="BG29"/>
  <c r="BH29"/>
  <c r="AE30"/>
  <c r="BG30"/>
  <c r="BH30"/>
  <c r="AE31"/>
  <c r="BG31"/>
  <c r="BH31"/>
  <c r="AE32"/>
  <c r="BG32"/>
  <c r="BH32"/>
  <c r="AE33"/>
  <c r="BG33"/>
  <c r="BH33"/>
  <c r="AE34"/>
  <c r="BG34"/>
  <c r="BH34"/>
  <c r="AE35"/>
  <c r="BG35"/>
  <c r="BH35"/>
  <c r="AE36"/>
  <c r="BG36"/>
  <c r="BH36"/>
  <c r="AE37"/>
  <c r="BG37"/>
  <c r="BH37"/>
  <c r="AE38"/>
  <c r="BG38"/>
  <c r="BH38"/>
  <c r="AE39"/>
  <c r="BG39"/>
  <c r="BH39"/>
  <c r="AE40"/>
  <c r="BG40"/>
  <c r="BH40"/>
  <c r="AE41"/>
  <c r="BG41"/>
  <c r="BH41"/>
  <c r="AE42"/>
  <c r="BG42"/>
  <c r="BH42"/>
  <c r="AE43"/>
  <c r="BG43"/>
  <c r="BH43"/>
  <c r="AE44"/>
  <c r="BG44"/>
  <c r="BH44"/>
  <c r="AE45"/>
  <c r="BG45"/>
  <c r="BH45"/>
  <c r="AE46"/>
  <c r="BG46"/>
  <c r="BH46"/>
  <c r="AE47"/>
  <c r="BG47"/>
  <c r="BH47"/>
  <c r="AE48"/>
  <c r="BG48"/>
  <c r="BH48"/>
  <c r="AC49"/>
  <c r="AD49"/>
  <c r="AE49" s="1"/>
  <c r="BG49" s="1"/>
  <c r="AE50"/>
  <c r="BG50"/>
  <c r="BH50"/>
  <c r="AE51"/>
  <c r="BG51"/>
  <c r="BH51"/>
  <c r="BY3"/>
  <c r="BY4"/>
  <c r="BY5"/>
  <c r="BY7"/>
  <c r="BY8"/>
  <c r="BY9"/>
  <c r="BY10"/>
  <c r="BY11"/>
  <c r="BY12"/>
  <c r="BY13"/>
  <c r="BY14"/>
  <c r="BY15"/>
  <c r="BY16"/>
  <c r="BY17"/>
  <c r="BY18"/>
  <c r="BY19"/>
  <c r="BY20"/>
  <c r="BY21"/>
  <c r="BY22"/>
  <c r="BY23"/>
  <c r="BY24"/>
  <c r="BY25"/>
  <c r="BY26"/>
  <c r="BY27"/>
  <c r="BY28"/>
  <c r="BY29"/>
  <c r="BY30"/>
  <c r="BY31"/>
  <c r="BY32"/>
  <c r="BY33"/>
  <c r="BY34"/>
  <c r="BY35"/>
  <c r="BY36"/>
  <c r="BY37"/>
  <c r="BY38"/>
  <c r="BY39"/>
  <c r="BY40"/>
  <c r="BY41"/>
  <c r="BY42"/>
  <c r="BY43"/>
  <c r="BY44"/>
  <c r="BY45"/>
  <c r="BY46"/>
  <c r="BY47"/>
  <c r="BY48"/>
  <c r="BY50"/>
  <c r="BY51"/>
  <c r="D2" i="8"/>
  <c r="D3"/>
  <c r="D4"/>
  <c r="D5"/>
  <c r="D6"/>
  <c r="D7"/>
  <c r="D8"/>
  <c r="D9"/>
  <c r="D10"/>
  <c r="D11"/>
  <c r="D12"/>
  <c r="D13"/>
  <c r="D14"/>
  <c r="D15"/>
  <c r="D22" s="1"/>
  <c r="D42" s="1"/>
  <c r="C81" i="3" s="1"/>
  <c r="D16" i="8"/>
  <c r="D17"/>
  <c r="D18"/>
  <c r="D19"/>
  <c r="D20"/>
  <c r="D21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C22"/>
  <c r="C41"/>
  <c r="C42"/>
  <c r="C82" i="3" s="1"/>
  <c r="C95"/>
  <c r="D95"/>
  <c r="E95"/>
  <c r="C101"/>
  <c r="C102"/>
  <c r="P3" i="2"/>
  <c r="T3"/>
  <c r="AO3"/>
  <c r="AP3"/>
  <c r="AX3"/>
  <c r="AY3"/>
  <c r="BZ3"/>
  <c r="CA3"/>
  <c r="P4"/>
  <c r="T4"/>
  <c r="AO4"/>
  <c r="AP4"/>
  <c r="AX4"/>
  <c r="AY4"/>
  <c r="BZ4"/>
  <c r="CA4"/>
  <c r="P5"/>
  <c r="T5"/>
  <c r="AO5"/>
  <c r="AP5"/>
  <c r="AX5"/>
  <c r="AY5"/>
  <c r="BZ5"/>
  <c r="CA5"/>
  <c r="P6"/>
  <c r="R6"/>
  <c r="S6" s="1"/>
  <c r="AO6"/>
  <c r="BU6"/>
  <c r="BZ6"/>
  <c r="P7"/>
  <c r="T7"/>
  <c r="AO7"/>
  <c r="AP7"/>
  <c r="AX7"/>
  <c r="AY7"/>
  <c r="BU7"/>
  <c r="BZ7"/>
  <c r="CA7"/>
  <c r="P8"/>
  <c r="T8"/>
  <c r="AX8" s="1"/>
  <c r="AO8"/>
  <c r="AP8"/>
  <c r="AY8"/>
  <c r="BU8"/>
  <c r="BZ8"/>
  <c r="CA8"/>
  <c r="P9"/>
  <c r="T9"/>
  <c r="AO9"/>
  <c r="AP9"/>
  <c r="AX9"/>
  <c r="AY9"/>
  <c r="BU9"/>
  <c r="BZ9"/>
  <c r="CA9"/>
  <c r="P10"/>
  <c r="T10"/>
  <c r="AX10" s="1"/>
  <c r="AO10"/>
  <c r="AP10"/>
  <c r="AY10"/>
  <c r="BU10"/>
  <c r="BZ10"/>
  <c r="CA10"/>
  <c r="P11"/>
  <c r="T11"/>
  <c r="AO11"/>
  <c r="AP11"/>
  <c r="AX11"/>
  <c r="AY11"/>
  <c r="BU11"/>
  <c r="BZ11"/>
  <c r="CA11"/>
  <c r="P12"/>
  <c r="T12"/>
  <c r="AX12" s="1"/>
  <c r="AO12"/>
  <c r="AP12"/>
  <c r="AY12"/>
  <c r="BU12"/>
  <c r="BZ12"/>
  <c r="CA12"/>
  <c r="P13"/>
  <c r="T13"/>
  <c r="AO13"/>
  <c r="AP13"/>
  <c r="AX13"/>
  <c r="AY13"/>
  <c r="BU13"/>
  <c r="BZ13"/>
  <c r="CA13"/>
  <c r="P14"/>
  <c r="T14"/>
  <c r="AX14" s="1"/>
  <c r="AO14"/>
  <c r="AP14"/>
  <c r="AY14"/>
  <c r="BU14"/>
  <c r="BZ14"/>
  <c r="CA14"/>
  <c r="P15"/>
  <c r="T15"/>
  <c r="AO15"/>
  <c r="AP15"/>
  <c r="AX15"/>
  <c r="AY15"/>
  <c r="BU15"/>
  <c r="BZ15"/>
  <c r="CA15"/>
  <c r="P16"/>
  <c r="T16"/>
  <c r="AX16" s="1"/>
  <c r="AO16"/>
  <c r="AP16"/>
  <c r="AY16"/>
  <c r="BU16"/>
  <c r="P17"/>
  <c r="T17"/>
  <c r="AO17"/>
  <c r="AP17"/>
  <c r="AX17"/>
  <c r="AY17"/>
  <c r="BU17"/>
  <c r="P18"/>
  <c r="T18"/>
  <c r="AX18" s="1"/>
  <c r="AO18"/>
  <c r="AP18"/>
  <c r="AY18"/>
  <c r="BU18"/>
  <c r="P19"/>
  <c r="T19"/>
  <c r="AO19"/>
  <c r="AP19"/>
  <c r="AX19"/>
  <c r="AY19"/>
  <c r="BU19"/>
  <c r="BZ19"/>
  <c r="CA19"/>
  <c r="P20"/>
  <c r="T20"/>
  <c r="AX20" s="1"/>
  <c r="AO20"/>
  <c r="AP20"/>
  <c r="AY20"/>
  <c r="BU20"/>
  <c r="BZ20"/>
  <c r="CA20"/>
  <c r="P21"/>
  <c r="T21"/>
  <c r="AO21"/>
  <c r="AP21"/>
  <c r="AX21"/>
  <c r="AY21"/>
  <c r="BU21"/>
  <c r="BZ21"/>
  <c r="CA21"/>
  <c r="P22"/>
  <c r="T22"/>
  <c r="AX22" s="1"/>
  <c r="AO22"/>
  <c r="AP22"/>
  <c r="AY22"/>
  <c r="BU22"/>
  <c r="BZ22"/>
  <c r="CA22"/>
  <c r="P23"/>
  <c r="T23"/>
  <c r="AO23"/>
  <c r="AP23"/>
  <c r="AX23"/>
  <c r="AY23"/>
  <c r="BU23"/>
  <c r="BZ23"/>
  <c r="CA23"/>
  <c r="P24"/>
  <c r="T24"/>
  <c r="AX24" s="1"/>
  <c r="AO24"/>
  <c r="AP24"/>
  <c r="AY24"/>
  <c r="BU24"/>
  <c r="BZ24"/>
  <c r="CA24"/>
  <c r="P25"/>
  <c r="T25"/>
  <c r="AO25"/>
  <c r="AP25"/>
  <c r="AX25"/>
  <c r="AY25"/>
  <c r="BU25"/>
  <c r="BZ25"/>
  <c r="CA25"/>
  <c r="P26"/>
  <c r="T26"/>
  <c r="AX26" s="1"/>
  <c r="AO26"/>
  <c r="AP26"/>
  <c r="AY26"/>
  <c r="BU26"/>
  <c r="BZ26"/>
  <c r="CA26"/>
  <c r="P27"/>
  <c r="T27"/>
  <c r="AO27"/>
  <c r="AP27"/>
  <c r="AX27"/>
  <c r="AY27"/>
  <c r="BU27"/>
  <c r="BZ27"/>
  <c r="CA27"/>
  <c r="P28"/>
  <c r="T28"/>
  <c r="AX28" s="1"/>
  <c r="AO28"/>
  <c r="AP28"/>
  <c r="AY28"/>
  <c r="BU28"/>
  <c r="BZ28"/>
  <c r="CA28"/>
  <c r="P29"/>
  <c r="T29"/>
  <c r="AO29"/>
  <c r="AP29"/>
  <c r="AX29"/>
  <c r="AY29"/>
  <c r="BU29"/>
  <c r="BZ29"/>
  <c r="CA29"/>
  <c r="P30"/>
  <c r="T30"/>
  <c r="AX30" s="1"/>
  <c r="AO30"/>
  <c r="AP30"/>
  <c r="AY30"/>
  <c r="BU30"/>
  <c r="BZ30"/>
  <c r="CA30"/>
  <c r="P31"/>
  <c r="T31"/>
  <c r="AO31"/>
  <c r="AP31"/>
  <c r="AX31"/>
  <c r="AY31"/>
  <c r="BU31"/>
  <c r="BZ31"/>
  <c r="CA31"/>
  <c r="P32"/>
  <c r="T32"/>
  <c r="AX32" s="1"/>
  <c r="AO32"/>
  <c r="AP32"/>
  <c r="AY32"/>
  <c r="BU32"/>
  <c r="BZ32"/>
  <c r="CA32"/>
  <c r="P33"/>
  <c r="T33"/>
  <c r="AO33"/>
  <c r="AP33"/>
  <c r="AX33"/>
  <c r="AY33"/>
  <c r="BU33"/>
  <c r="BZ33"/>
  <c r="CA33"/>
  <c r="P34"/>
  <c r="T34"/>
  <c r="AX34" s="1"/>
  <c r="AO34"/>
  <c r="AP34"/>
  <c r="AY34"/>
  <c r="BU34"/>
  <c r="BZ34"/>
  <c r="CA34"/>
  <c r="P35"/>
  <c r="T35"/>
  <c r="AO35"/>
  <c r="AP35"/>
  <c r="AX35"/>
  <c r="AY35"/>
  <c r="BU35"/>
  <c r="BZ35"/>
  <c r="CA35"/>
  <c r="P36"/>
  <c r="T36"/>
  <c r="AX36" s="1"/>
  <c r="AO36"/>
  <c r="AP36"/>
  <c r="AY36"/>
  <c r="BZ36"/>
  <c r="CA36"/>
  <c r="P37"/>
  <c r="T37"/>
  <c r="AX37" s="1"/>
  <c r="AO37"/>
  <c r="AP37"/>
  <c r="AY37"/>
  <c r="BZ37"/>
  <c r="CA37"/>
  <c r="P38"/>
  <c r="T38"/>
  <c r="AX38" s="1"/>
  <c r="AO38"/>
  <c r="AP38"/>
  <c r="AY38"/>
  <c r="BZ38"/>
  <c r="CA38"/>
  <c r="P39"/>
  <c r="T39"/>
  <c r="AX39" s="1"/>
  <c r="AO39"/>
  <c r="AP39"/>
  <c r="AY39"/>
  <c r="BZ39"/>
  <c r="CA39"/>
  <c r="P40"/>
  <c r="T40"/>
  <c r="AX40" s="1"/>
  <c r="AO40"/>
  <c r="AP40"/>
  <c r="AY40"/>
  <c r="BZ40"/>
  <c r="CA40"/>
  <c r="P41"/>
  <c r="T41"/>
  <c r="AX41" s="1"/>
  <c r="AO41"/>
  <c r="AP41"/>
  <c r="AY41"/>
  <c r="BZ41"/>
  <c r="CA41"/>
  <c r="P42"/>
  <c r="T42"/>
  <c r="AX42" s="1"/>
  <c r="AO42"/>
  <c r="AP42"/>
  <c r="AY42"/>
  <c r="BZ42"/>
  <c r="CA42"/>
  <c r="P43"/>
  <c r="T43"/>
  <c r="AX43" s="1"/>
  <c r="AO43"/>
  <c r="AP43"/>
  <c r="AY43"/>
  <c r="BZ43"/>
  <c r="CA43"/>
  <c r="P44"/>
  <c r="T44"/>
  <c r="AX44" s="1"/>
  <c r="AO44"/>
  <c r="AP44"/>
  <c r="AY44"/>
  <c r="BZ44"/>
  <c r="CA44"/>
  <c r="P45"/>
  <c r="T45"/>
  <c r="AX45" s="1"/>
  <c r="AO45"/>
  <c r="AP45"/>
  <c r="AY45"/>
  <c r="BZ45"/>
  <c r="CA45"/>
  <c r="P46"/>
  <c r="T46"/>
  <c r="AX46" s="1"/>
  <c r="AO46"/>
  <c r="AP46"/>
  <c r="AY46"/>
  <c r="BU46"/>
  <c r="BZ46"/>
  <c r="CA46"/>
  <c r="P47"/>
  <c r="T47"/>
  <c r="AO47"/>
  <c r="AP47"/>
  <c r="AX47"/>
  <c r="AY47"/>
  <c r="P48"/>
  <c r="T48"/>
  <c r="AX48" s="1"/>
  <c r="AO48"/>
  <c r="AP48"/>
  <c r="AY48"/>
  <c r="BU48"/>
  <c r="BZ48"/>
  <c r="CA48"/>
  <c r="P49"/>
  <c r="R49"/>
  <c r="S49"/>
  <c r="T49" s="1"/>
  <c r="AO49"/>
  <c r="BU49"/>
  <c r="BZ49"/>
  <c r="P50"/>
  <c r="T50"/>
  <c r="AX50" s="1"/>
  <c r="AO50"/>
  <c r="AP50"/>
  <c r="AY50"/>
  <c r="BU50"/>
  <c r="BZ50"/>
  <c r="CA50"/>
  <c r="P51"/>
  <c r="T51"/>
  <c r="AO51"/>
  <c r="AP51"/>
  <c r="AX51"/>
  <c r="AY51"/>
  <c r="BO51"/>
  <c r="BP51"/>
  <c r="BU51"/>
  <c r="BZ51"/>
  <c r="CA51"/>
  <c r="BR52"/>
  <c r="BS52"/>
  <c r="BT52"/>
  <c r="AQ53"/>
  <c r="AR53"/>
  <c r="AW53" s="1"/>
  <c r="AS53"/>
  <c r="AT53"/>
  <c r="AU53"/>
  <c r="AV53"/>
  <c r="AZ53"/>
  <c r="BA53"/>
  <c r="BB53"/>
  <c r="BC53"/>
  <c r="BD53"/>
  <c r="BE53"/>
  <c r="BF53"/>
  <c r="BM53"/>
  <c r="BN53"/>
  <c r="I2" i="8"/>
  <c r="M2"/>
  <c r="K2" s="1"/>
  <c r="N2"/>
  <c r="L2" s="1"/>
  <c r="I3"/>
  <c r="N3"/>
  <c r="L3"/>
  <c r="I4"/>
  <c r="M4"/>
  <c r="K4" s="1"/>
  <c r="N4"/>
  <c r="L4" s="1"/>
  <c r="I5"/>
  <c r="M5"/>
  <c r="K5"/>
  <c r="N5"/>
  <c r="L5"/>
  <c r="I6"/>
  <c r="M6"/>
  <c r="K6" s="1"/>
  <c r="N6"/>
  <c r="L6" s="1"/>
  <c r="N7"/>
  <c r="L7" s="1"/>
  <c r="M8"/>
  <c r="K8" s="1"/>
  <c r="N8"/>
  <c r="L8" s="1"/>
  <c r="I9"/>
  <c r="M9"/>
  <c r="K9" s="1"/>
  <c r="N9"/>
  <c r="L9" s="1"/>
  <c r="I10"/>
  <c r="M10"/>
  <c r="K10" s="1"/>
  <c r="N10"/>
  <c r="L10" s="1"/>
  <c r="I11"/>
  <c r="M11"/>
  <c r="K11" s="1"/>
  <c r="N11"/>
  <c r="L11" s="1"/>
  <c r="I12"/>
  <c r="M12"/>
  <c r="K12" s="1"/>
  <c r="N12"/>
  <c r="L12" s="1"/>
  <c r="I13"/>
  <c r="M13"/>
  <c r="K13" s="1"/>
  <c r="N13"/>
  <c r="L13" s="1"/>
  <c r="I14"/>
  <c r="M14"/>
  <c r="K14" s="1"/>
  <c r="N14"/>
  <c r="L14" s="1"/>
  <c r="K15"/>
  <c r="L15"/>
  <c r="K16"/>
  <c r="L16"/>
  <c r="K17"/>
  <c r="L17"/>
  <c r="K18"/>
  <c r="L18"/>
  <c r="K19"/>
  <c r="L19"/>
  <c r="K20"/>
  <c r="L20"/>
  <c r="K21"/>
  <c r="L21"/>
  <c r="E22"/>
  <c r="F22"/>
  <c r="I22"/>
  <c r="M22"/>
  <c r="K22" s="1"/>
  <c r="N22"/>
  <c r="L22" s="1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K37"/>
  <c r="L37"/>
  <c r="K38"/>
  <c r="L38"/>
  <c r="K39"/>
  <c r="L39"/>
  <c r="K40"/>
  <c r="L40"/>
  <c r="E41"/>
  <c r="F41"/>
  <c r="F42" s="1"/>
  <c r="I41"/>
  <c r="M41"/>
  <c r="K41" s="1"/>
  <c r="N41"/>
  <c r="L41" s="1"/>
  <c r="E42"/>
  <c r="N42"/>
  <c r="L42" s="1"/>
  <c r="AC52" i="2"/>
  <c r="C49" i="3"/>
  <c r="AD52" i="2"/>
  <c r="D49" i="3" s="1"/>
  <c r="R52" i="2"/>
  <c r="C38" i="3"/>
  <c r="BW52" i="2" l="1"/>
  <c r="D72" i="3" s="1"/>
  <c r="I61"/>
  <c r="I49"/>
  <c r="J49"/>
  <c r="T6" i="2"/>
  <c r="AY6" s="1"/>
  <c r="S52"/>
  <c r="D38" i="3" s="1"/>
  <c r="BG6" i="2"/>
  <c r="AE52"/>
  <c r="E49" i="3" s="1"/>
  <c r="F49" s="1"/>
  <c r="BV52" i="2"/>
  <c r="C72" i="3" s="1"/>
  <c r="BX3" i="2"/>
  <c r="CA17"/>
  <c r="M7" i="8"/>
  <c r="K7" s="1"/>
  <c r="BZ17" i="2"/>
  <c r="C103" i="3"/>
  <c r="AX49" i="2"/>
  <c r="AP49"/>
  <c r="D71" i="3"/>
  <c r="C71"/>
  <c r="E82" s="1"/>
  <c r="D82" s="1"/>
  <c r="BZ52" i="2"/>
  <c r="D74" i="3" s="1"/>
  <c r="C74" s="1"/>
  <c r="BU47" i="2"/>
  <c r="BU52" s="1"/>
  <c r="CA47"/>
  <c r="H59" i="3"/>
  <c r="C106" s="1"/>
  <c r="BZ47" i="2"/>
  <c r="M3" i="8"/>
  <c r="BZ18" i="2"/>
  <c r="CA18"/>
  <c r="F59" i="3"/>
  <c r="C104" s="1"/>
  <c r="BZ16" i="2"/>
  <c r="CA16"/>
  <c r="I62" i="3"/>
  <c r="BA25" i="2"/>
  <c r="BC25"/>
  <c r="BE25"/>
  <c r="BA19"/>
  <c r="BC19"/>
  <c r="BE19"/>
  <c r="Y52"/>
  <c r="G23" i="3" s="1"/>
  <c r="BD24" i="2"/>
  <c r="BF24" s="1"/>
  <c r="AU42"/>
  <c r="BD42"/>
  <c r="AS16"/>
  <c r="BB16"/>
  <c r="AR21"/>
  <c r="BA21"/>
  <c r="AQ51"/>
  <c r="C10" i="3"/>
  <c r="AQ44" i="2"/>
  <c r="AR44"/>
  <c r="AS44"/>
  <c r="AT44"/>
  <c r="AU44"/>
  <c r="AQ42"/>
  <c r="AR42"/>
  <c r="AS42"/>
  <c r="AT42"/>
  <c r="AQ40"/>
  <c r="AR40"/>
  <c r="AS40"/>
  <c r="AT40"/>
  <c r="AV40"/>
  <c r="AQ38"/>
  <c r="AR38"/>
  <c r="AS38"/>
  <c r="AT38"/>
  <c r="AV38"/>
  <c r="AQ36"/>
  <c r="AR36"/>
  <c r="AS36"/>
  <c r="AT36"/>
  <c r="AV36"/>
  <c r="BL31"/>
  <c r="BL46"/>
  <c r="BK31"/>
  <c r="BK46"/>
  <c r="BJ31"/>
  <c r="BJ46"/>
  <c r="AQ27"/>
  <c r="AU27"/>
  <c r="AQ19"/>
  <c r="AT19"/>
  <c r="AU19"/>
  <c r="BK8"/>
  <c r="BK21"/>
  <c r="BK32"/>
  <c r="BK35"/>
  <c r="BK47"/>
  <c r="BM7"/>
  <c r="BM8"/>
  <c r="BM25"/>
  <c r="BM26"/>
  <c r="BI22"/>
  <c r="BI35"/>
  <c r="BI47"/>
  <c r="BJ16"/>
  <c r="BJ32"/>
  <c r="BJ35"/>
  <c r="BJ47"/>
  <c r="BL16"/>
  <c r="BL21"/>
  <c r="BL32"/>
  <c r="BL35"/>
  <c r="BL47"/>
  <c r="AQ14"/>
  <c r="AR14"/>
  <c r="AT14"/>
  <c r="AV14"/>
  <c r="AQ12"/>
  <c r="AR12"/>
  <c r="AT12"/>
  <c r="AV12"/>
  <c r="AQ10"/>
  <c r="AR10"/>
  <c r="AT10"/>
  <c r="AV10"/>
  <c r="AQ8"/>
  <c r="AR8"/>
  <c r="AQ6"/>
  <c r="AR6"/>
  <c r="AQ4"/>
  <c r="AR4"/>
  <c r="AY49"/>
  <c r="AX6"/>
  <c r="J25" i="3"/>
  <c r="M10"/>
  <c r="BI31" i="2"/>
  <c r="AW17"/>
  <c r="AA53"/>
  <c r="BE51"/>
  <c r="V52"/>
  <c r="BA3"/>
  <c r="AV33"/>
  <c r="BE33"/>
  <c r="AU50"/>
  <c r="BD50"/>
  <c r="AS26"/>
  <c r="BB26"/>
  <c r="BM33"/>
  <c r="BM34"/>
  <c r="BN42"/>
  <c r="BN49"/>
  <c r="BN50"/>
  <c r="AQ50"/>
  <c r="AR50"/>
  <c r="AS50"/>
  <c r="AT50"/>
  <c r="AQ48"/>
  <c r="AR48"/>
  <c r="AS48"/>
  <c r="AT48"/>
  <c r="AU48"/>
  <c r="AQ45"/>
  <c r="AV45"/>
  <c r="AQ43"/>
  <c r="AV43"/>
  <c r="AQ41"/>
  <c r="AU41"/>
  <c r="AQ39"/>
  <c r="AU39"/>
  <c r="AQ37"/>
  <c r="AU37"/>
  <c r="AQ28"/>
  <c r="AR28"/>
  <c r="AS28"/>
  <c r="AT28"/>
  <c r="AV28"/>
  <c r="AQ26"/>
  <c r="AR26"/>
  <c r="AT26"/>
  <c r="AV26"/>
  <c r="AQ24"/>
  <c r="AR24"/>
  <c r="AS24"/>
  <c r="AT24"/>
  <c r="AV24"/>
  <c r="AS22"/>
  <c r="AT22"/>
  <c r="AV22"/>
  <c r="AQ20"/>
  <c r="AW20" s="1"/>
  <c r="AR20"/>
  <c r="AV20"/>
  <c r="AQ15"/>
  <c r="AS15"/>
  <c r="AU15"/>
  <c r="AQ13"/>
  <c r="AW13" s="1"/>
  <c r="AS13"/>
  <c r="AU13"/>
  <c r="AQ11"/>
  <c r="AS11"/>
  <c r="AU11"/>
  <c r="AQ9"/>
  <c r="AW9" s="1"/>
  <c r="AS9"/>
  <c r="AU9"/>
  <c r="AQ7"/>
  <c r="AT7"/>
  <c r="AV7"/>
  <c r="AQ5"/>
  <c r="AS5"/>
  <c r="AT5"/>
  <c r="AU5"/>
  <c r="AV5"/>
  <c r="AQ3"/>
  <c r="AS3"/>
  <c r="AT3"/>
  <c r="AU3"/>
  <c r="AV3"/>
  <c r="BH49"/>
  <c r="BY49" s="1"/>
  <c r="CA49" s="1"/>
  <c r="BH6"/>
  <c r="AZ25"/>
  <c r="AZ19"/>
  <c r="BF19" s="1"/>
  <c r="AR51"/>
  <c r="Q52"/>
  <c r="AU23"/>
  <c r="AW23" s="1"/>
  <c r="AR52" l="1"/>
  <c r="D9" i="3" s="1"/>
  <c r="BD34" i="2"/>
  <c r="BF34" s="1"/>
  <c r="AU34"/>
  <c r="AW34" s="1"/>
  <c r="AW3"/>
  <c r="AV50"/>
  <c r="AW50" s="1"/>
  <c r="BE50"/>
  <c r="AV42"/>
  <c r="AW42" s="1"/>
  <c r="BE42"/>
  <c r="AU33"/>
  <c r="AW33" s="1"/>
  <c r="BD33"/>
  <c r="BF33" s="1"/>
  <c r="AA52"/>
  <c r="D23" i="3"/>
  <c r="J23" s="1"/>
  <c r="E81" s="1"/>
  <c r="BA51" i="2"/>
  <c r="BC51"/>
  <c r="BB51"/>
  <c r="AZ51"/>
  <c r="BD51"/>
  <c r="BC35"/>
  <c r="AT35"/>
  <c r="BC21"/>
  <c r="AT21"/>
  <c r="BA47"/>
  <c r="AR47"/>
  <c r="AR32"/>
  <c r="BA32"/>
  <c r="AQ47"/>
  <c r="AZ47"/>
  <c r="AQ22"/>
  <c r="AW22" s="1"/>
  <c r="AZ22"/>
  <c r="AU25"/>
  <c r="AW25" s="1"/>
  <c r="BD25"/>
  <c r="BF25" s="1"/>
  <c r="AU7"/>
  <c r="BD7"/>
  <c r="AS35"/>
  <c r="BB35"/>
  <c r="AS21"/>
  <c r="BB21"/>
  <c r="BA31"/>
  <c r="AR31"/>
  <c r="AS31"/>
  <c r="BB31"/>
  <c r="BC31"/>
  <c r="AT31"/>
  <c r="BY6"/>
  <c r="AW24"/>
  <c r="AW48"/>
  <c r="AV52"/>
  <c r="H9" i="3" s="1"/>
  <c r="AW7" i="2"/>
  <c r="AW11"/>
  <c r="AW15"/>
  <c r="E57" i="3" s="1"/>
  <c r="AW28" i="2"/>
  <c r="AW37"/>
  <c r="AW39"/>
  <c r="AW41"/>
  <c r="AW43"/>
  <c r="AW45"/>
  <c r="AW4"/>
  <c r="AW6"/>
  <c r="AW10"/>
  <c r="D57" i="3" s="1"/>
  <c r="AW12" i="2"/>
  <c r="AW14"/>
  <c r="AW19"/>
  <c r="AW27"/>
  <c r="AW38"/>
  <c r="AW44"/>
  <c r="AW51"/>
  <c r="BX6"/>
  <c r="F82" i="3"/>
  <c r="BX49" i="2"/>
  <c r="C107" i="3"/>
  <c r="I8"/>
  <c r="J8" s="1"/>
  <c r="P52" i="2"/>
  <c r="BE49"/>
  <c r="BF49" s="1"/>
  <c r="AV49"/>
  <c r="AW49" s="1"/>
  <c r="BF3"/>
  <c r="AQ31"/>
  <c r="AW31" s="1"/>
  <c r="AZ31"/>
  <c r="BC47"/>
  <c r="AT47"/>
  <c r="AT32"/>
  <c r="BC32"/>
  <c r="AT16"/>
  <c r="AT52" s="1"/>
  <c r="F9" i="3" s="1"/>
  <c r="BC16" i="2"/>
  <c r="BA35"/>
  <c r="BA52" s="1"/>
  <c r="D24" i="3" s="1"/>
  <c r="AR35" i="2"/>
  <c r="AR16"/>
  <c r="AW16" s="1"/>
  <c r="BA16"/>
  <c r="BF16" s="1"/>
  <c r="AQ35"/>
  <c r="AW35" s="1"/>
  <c r="AZ35"/>
  <c r="BD26"/>
  <c r="AU26"/>
  <c r="BD8"/>
  <c r="AU8"/>
  <c r="BB47"/>
  <c r="AS47"/>
  <c r="BB32"/>
  <c r="AS32"/>
  <c r="BB8"/>
  <c r="AS8"/>
  <c r="AS52" s="1"/>
  <c r="E9" i="3" s="1"/>
  <c r="BA46" i="2"/>
  <c r="AR46"/>
  <c r="BB46"/>
  <c r="AS46"/>
  <c r="BC46"/>
  <c r="AT46"/>
  <c r="J10" i="3"/>
  <c r="L10"/>
  <c r="K3" i="8"/>
  <c r="M42"/>
  <c r="K42" s="1"/>
  <c r="I38" i="3"/>
  <c r="J38"/>
  <c r="AP6" i="2"/>
  <c r="T52"/>
  <c r="E38" i="3" s="1"/>
  <c r="F38" s="1"/>
  <c r="AU52" i="2"/>
  <c r="G9" i="3" s="1"/>
  <c r="AW5" i="2"/>
  <c r="AW26"/>
  <c r="BF26"/>
  <c r="BF50"/>
  <c r="AW36"/>
  <c r="AW40"/>
  <c r="BF21"/>
  <c r="BF42"/>
  <c r="BE52"/>
  <c r="H24" i="3" s="1"/>
  <c r="I59"/>
  <c r="BX52" i="2"/>
  <c r="C73" i="3" s="1"/>
  <c r="M9" l="1"/>
  <c r="BF8" i="2"/>
  <c r="BB52"/>
  <c r="E24" i="3" s="1"/>
  <c r="BY52" i="2"/>
  <c r="CA6"/>
  <c r="BF7"/>
  <c r="BD52"/>
  <c r="G24" i="3" s="1"/>
  <c r="BF22" i="2"/>
  <c r="AZ52"/>
  <c r="C24" i="3" s="1"/>
  <c r="C58"/>
  <c r="D81"/>
  <c r="F81"/>
  <c r="BF46" i="2"/>
  <c r="BF47"/>
  <c r="BF32"/>
  <c r="AQ52"/>
  <c r="C9" i="3" s="1"/>
  <c r="G58"/>
  <c r="AW46" i="2"/>
  <c r="G57" i="3" s="1"/>
  <c r="BF35" i="2"/>
  <c r="BC52"/>
  <c r="F24" i="3" s="1"/>
  <c r="BF31" i="2"/>
  <c r="BG52" s="1"/>
  <c r="C50" i="3" s="1"/>
  <c r="AW8" i="2"/>
  <c r="BH52"/>
  <c r="D50" i="3" s="1"/>
  <c r="AW21" i="2"/>
  <c r="AW52" s="1"/>
  <c r="AW47"/>
  <c r="H57" i="3" s="1"/>
  <c r="AW32" i="2"/>
  <c r="AY52" s="1"/>
  <c r="D39" i="3" s="1"/>
  <c r="BF51" i="2"/>
  <c r="J24" i="3" l="1"/>
  <c r="J50"/>
  <c r="F50"/>
  <c r="L9"/>
  <c r="J9"/>
  <c r="D73"/>
  <c r="CA52" i="2"/>
  <c r="D75" i="3" s="1"/>
  <c r="C75" s="1"/>
  <c r="I50"/>
  <c r="F58"/>
  <c r="F57"/>
  <c r="BF52" i="2"/>
  <c r="AX52"/>
  <c r="C39" i="3" s="1"/>
  <c r="I39" s="1"/>
  <c r="H58"/>
  <c r="C57"/>
  <c r="I57" s="1"/>
  <c r="I58"/>
  <c r="J39" l="1"/>
  <c r="F39"/>
</calcChain>
</file>

<file path=xl/comments1.xml><?xml version="1.0" encoding="utf-8"?>
<comments xmlns="http://schemas.openxmlformats.org/spreadsheetml/2006/main">
  <authors>
    <author>Matt Horne</author>
    <author>Alison</author>
  </authors>
  <commentList>
    <comment ref="AN1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Also includes entries where OE data resulted in an increase in partner data.</t>
        </r>
      </text>
    </comment>
    <comment ref="CA1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All values in this section are estimates because they depend on how long the savings are assumed to last.</t>
        </r>
      </text>
    </comment>
    <comment ref="BV2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This value is dependant on how long the energy savings are assumed to last.</t>
        </r>
      </text>
    </comment>
    <comment ref="BW2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This value is dependant on how long the energy savings are assumed to last and the discount rate selected.</t>
        </r>
      </text>
    </comment>
    <comment ref="BZ2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This estimated value only includes program spending, so it is not comparable to a "Total Resource Cost", which would include consumer spending as well. The Terasen values are also misleading because the costs are not reported by program.</t>
        </r>
      </text>
    </comment>
    <comment ref="CA2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This estimated value only includes program spending, so it is not comparable to a "Total Resource Cost", which would include consumer spending as well. The Terasen values are also misleading because the costs are not reported by program.</t>
        </r>
      </text>
    </comment>
    <comment ref="AN4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This is one where the OE numbers may warrant increasing the partners estimate.
</t>
        </r>
        <r>
          <rPr>
            <b/>
            <sz val="9"/>
            <color indexed="81"/>
            <rFont val="Arial"/>
          </rPr>
          <t xml:space="preserve">Nic Rivers:
</t>
        </r>
        <r>
          <rPr>
            <sz val="9"/>
            <color indexed="81"/>
            <rFont val="Arial"/>
          </rPr>
          <t>Matt, not really sure what this column means.  The numbers came from the CHBA, which receives funding from MEMPR, through OE.</t>
        </r>
      </text>
    </comment>
    <comment ref="S6" authorId="1">
      <text>
        <r>
          <rPr>
            <b/>
            <sz val="8"/>
            <color indexed="81"/>
            <rFont val="Tahoma"/>
          </rPr>
          <t>Alison:</t>
        </r>
        <r>
          <rPr>
            <sz val="8"/>
            <color indexed="81"/>
            <rFont val="Tahoma"/>
          </rPr>
          <t xml:space="preserve">
fractions are different for each target sector
</t>
        </r>
      </text>
    </comment>
    <comment ref="AD6" authorId="1">
      <text>
        <r>
          <rPr>
            <b/>
            <sz val="8"/>
            <color indexed="81"/>
            <rFont val="Tahoma"/>
          </rPr>
          <t>Alison:</t>
        </r>
        <r>
          <rPr>
            <sz val="8"/>
            <color indexed="81"/>
            <rFont val="Tahoma"/>
          </rPr>
          <t xml:space="preserve">
fractions are different for each target sector
</t>
        </r>
      </text>
    </comment>
    <comment ref="Q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Since it's inception in April 1998, REDI has provided incentives to 23 solar water and 6 solar air heating projects by businesses and institutions (3428 m2, 2.4 MWt, saving approximately 8675 GJ/y</t>
        </r>
      </text>
    </comment>
    <comment ref="R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Based on January 4th email from Bruce Sippit, NRCan does not track the splits between gas and electricity. The 90% gas figure is based on his note that the vast majority of systems are used in natural gas applications.</t>
        </r>
      </text>
    </comment>
    <comment ref="S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Based on January 4th email from Bruce Sippit, NRCan does not track the splits between gas and electricity. The 90% gas figure is based on his note that the vast majority of systems are used in natural gas applications.</t>
        </r>
      </text>
    </comment>
    <comment ref="AB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Since it's inception in April 1998, REDI has provided incentives to 23 solar water and 6 solar air heating projects by businesses and institutions (3428 m2, 2.4 MWt, saving approximately 8675 GJ/y</t>
        </r>
      </text>
    </comment>
    <comment ref="AC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Based on January 4th email from Bruce Sippit, NRCan does not track the splits between gas and electricity. The 90% gas figure is based on his note that the vast majority of systems are used in natural gas applications.</t>
        </r>
      </text>
    </comment>
    <comment ref="AD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Based on January 4th email from Bruce Sippit, NRCan does not track the splits between gas and electricity. The 90% gas figure is based on his note that the vast majority of systems are used in natural gas applications.</t>
        </r>
      </text>
    </comment>
    <comment ref="AM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REDI pays for 25% of the total installed system cost.  This fraction doesn't necessarily apply to the pilot projects but shouldn't be too far off.  For the 29 "regular" REDI projects mentioned above, NRCan paid $443,900 of a total cost of $1,849,000.</t>
        </r>
      </text>
    </comment>
    <comment ref="BR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REDI pays for 25% of the total installed system cost.  This fraction doesn't necessarily apply to the pilot projects but shouldn't be too far off.  For the 29 "regular" REDI projects mentioned above, NRCan paid $443,900 of a total cost of $1,849,000.</t>
        </r>
      </text>
    </comment>
    <comment ref="BS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REDI pays for 25% of the total installed system cost.  This fraction doesn't necessarily apply to the pilot projects but shouldn't be too far off.  For the 29 "regular" REDI projects mentioned above, NRCan paid $443,900 of a total cost of $1,849,000.</t>
        </r>
      </text>
    </comment>
    <comment ref="BT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REDI pays for 25% of the total installed system cost.  This fraction doesn't necessarily apply to the pilot projects but shouldn't be too far off.  For the 29 "regular" REDI projects mentioned above, NRCan paid $443,900 of a total cost of $1,849,000.</t>
        </r>
      </text>
    </comment>
    <comment ref="BU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REDI pays for 25% of the total installed system cost.  This fraction doesn't necessarily apply to the pilot projects but shouldn't be too far off.  For the 29 "regular" REDI projects mentioned above, NRCan paid $443,900 of a total cost of $1,849,000.</t>
        </r>
      </text>
    </comment>
    <comment ref="P9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AB9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P10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AB10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P11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AB11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P12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AB12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P13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AB13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P14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AB14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 savings have been attributed to tax exemptions. See report for a discussion of this issue.</t>
        </r>
      </text>
    </comment>
    <comment ref="AL36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expenditures were not available by program.</t>
        </r>
      </text>
    </comment>
    <comment ref="BR36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Costs are not reported by program. See "Terasen Total Costs" Row.</t>
        </r>
      </text>
    </comment>
    <comment ref="AL37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expenditures were not available by program.</t>
        </r>
      </text>
    </comment>
    <comment ref="AL3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expenditures were not available by program.</t>
        </r>
      </text>
    </comment>
    <comment ref="AL39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expenditures were not available by program.</t>
        </r>
      </text>
    </comment>
    <comment ref="AL40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expenditures were not available by program.</t>
        </r>
      </text>
    </comment>
    <comment ref="AL41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expenditures were not available by program.</t>
        </r>
      </text>
    </comment>
    <comment ref="AL42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expenditures were not available by program.</t>
        </r>
      </text>
    </comment>
    <comment ref="AL43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expenditures were not available by program.</t>
        </r>
      </text>
    </comment>
    <comment ref="AL44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expenditures were not available by program.</t>
        </r>
      </text>
    </comment>
    <comment ref="A45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Actual spending for individual programs was not available. Terasen also reported partner spending, but as discussed in the report, these expenditures are covered by other rows in this table.</t>
        </r>
      </text>
    </comment>
    <comment ref="AB46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Note that we only had numbers from OE - not from PNG, so there may be unaccounted cumulative savings</t>
        </r>
      </text>
    </comment>
    <comment ref="Q47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The interim numbers provided by Nitya Harris in July 2006, were an estimated savings of 0.7 TJ.</t>
        </r>
      </text>
    </comment>
    <comment ref="R47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Based on information from Nitya Harris in email dated July 30, 2006.</t>
        </r>
      </text>
    </comment>
    <comment ref="S47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Based on information from Nitya Harris in email dated July 30, 2006.</t>
        </r>
      </text>
    </comment>
    <comment ref="AB47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The interim numbers provided by Nitya Harris in July 2006, were an estimated savings of 0.7 TJ.</t>
        </r>
      </text>
    </comment>
    <comment ref="AC47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Based on information from Nitya Harris in email dated July 30, 2006.</t>
        </r>
      </text>
    </comment>
    <comment ref="AD47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Based on information from Nitya Harris in email dated July 30, 2006.</t>
        </r>
      </text>
    </comment>
    <comment ref="AM47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This is all of the money provided by MEMPR (70 grants at $200 each). Each of these was supposed to be supplemented by $700 per grant from REDI, but based on information from NRCAN, that expenditure is included in REDI row.</t>
        </r>
      </text>
    </comment>
    <comment ref="AC49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These are the numbers reported by MEMPR (from Liz's sheet). They appear to be based on made up numbers given they work out exactly to 50%.</t>
        </r>
      </text>
    </comment>
  </commentList>
</comments>
</file>

<file path=xl/comments2.xml><?xml version="1.0" encoding="utf-8"?>
<comments xmlns="http://schemas.openxmlformats.org/spreadsheetml/2006/main">
  <authors>
    <author>Matt Horne</author>
  </authors>
  <commentList>
    <comment ref="L2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Note that row 30 is linked here and in row 8</t>
        </r>
      </text>
    </comment>
    <comment ref="I4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I don't think these numbers were accounted for in my numbers - see notes from conversation with Liz - the numbers here are just program admin, whereas the OE $ are incentives</t>
        </r>
      </text>
    </comment>
    <comment ref="L8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Note that row 30 is linked here and in row 2</t>
        </r>
      </text>
    </comment>
    <comment ref="K10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Spending is not separated by program.</t>
        </r>
      </text>
    </comment>
    <comment ref="K11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Terasen Spending is not separated by program.</t>
        </r>
      </text>
    </comment>
    <comment ref="I13" authorId="0">
      <text>
        <r>
          <rPr>
            <b/>
            <sz val="9"/>
            <color indexed="81"/>
            <rFont val="Arial"/>
          </rPr>
          <t>Matt Horne:</t>
        </r>
        <r>
          <rPr>
            <sz val="9"/>
            <color indexed="81"/>
            <rFont val="Arial"/>
          </rPr>
          <t xml:space="preserve">
There was no mention of Smart Meters in the Fortis evaluation. Smart meters are also mentioned in a separate line item, so our assumption is that this row is just for the heatpumps.</t>
        </r>
      </text>
    </comment>
  </commentList>
</comments>
</file>

<file path=xl/sharedStrings.xml><?xml version="1.0" encoding="utf-8"?>
<sst xmlns="http://schemas.openxmlformats.org/spreadsheetml/2006/main" count="722" uniqueCount="265">
  <si>
    <t>Power Smart Partners</t>
  </si>
  <si>
    <t>Product Incentive</t>
  </si>
  <si>
    <t>Small Business CFL</t>
  </si>
  <si>
    <t>New Construction Energy Star Heating Systems</t>
  </si>
  <si>
    <t>High Efficiency Furnace/Boiler Upgrades</t>
  </si>
  <si>
    <t>% Gas</t>
  </si>
  <si>
    <t>% Electricity</t>
  </si>
  <si>
    <t>Home Energy Upgrade and New Home Program</t>
  </si>
  <si>
    <t>17 &amp; 18</t>
  </si>
  <si>
    <t>Target</t>
  </si>
  <si>
    <t>Tax exemptions - Air source heat pumps</t>
  </si>
  <si>
    <t>Fireplace Upgrade</t>
  </si>
  <si>
    <t>Weatherproofing and Insulation</t>
  </si>
  <si>
    <t>Heating System Tuneup</t>
  </si>
  <si>
    <t>Homeworks</t>
  </si>
  <si>
    <t>Energy* heating</t>
  </si>
  <si>
    <t>PNG</t>
  </si>
  <si>
    <t>Home Improvement Program / Watersavers</t>
  </si>
  <si>
    <t>Fortis</t>
  </si>
  <si>
    <t>New Home Program</t>
  </si>
  <si>
    <t>tonnes CO2e / GWh</t>
  </si>
  <si>
    <t>Life-cycle Calculations (for savings achieved in 2005)</t>
  </si>
  <si>
    <t>Estimated GHG Savings (tonnes) - (not-discounted)</t>
  </si>
  <si>
    <t>Estimated GHG Savings (tonnes) - (discounted)</t>
  </si>
  <si>
    <t>Estimated $ / tonne (discounted)</t>
  </si>
  <si>
    <t>Estimated Energy Savings (TJ) - (not-discounted)</t>
  </si>
  <si>
    <t>Community Action on Energy Efficiency</t>
  </si>
  <si>
    <t>Energy Savings Plan</t>
  </si>
  <si>
    <t>Other</t>
  </si>
  <si>
    <t>Smart Meters</t>
  </si>
  <si>
    <t>% Not Designated</t>
  </si>
  <si>
    <t>Incremental Energy Savings in 2005/2006 (TJ) - Estimating splits where necessary</t>
  </si>
  <si>
    <t>Cumulative Energy Savings in 2005/2006 (TJ) - Estimating splits where necessary</t>
  </si>
  <si>
    <t>% of Incremental Energy Savings from OE</t>
  </si>
  <si>
    <t>OE Spending (no savings)</t>
  </si>
  <si>
    <t>Lighting Program - Commercial</t>
  </si>
  <si>
    <t>Building Improvement / New Facility Program</t>
  </si>
  <si>
    <t>Terasen</t>
  </si>
  <si>
    <t>Energy Assessments</t>
  </si>
  <si>
    <t>Destination Conservation</t>
  </si>
  <si>
    <t>Efficient Boiler Program</t>
  </si>
  <si>
    <t>2004 consumption</t>
  </si>
  <si>
    <t>Table 8 - Programs by Target and Delivery Agent</t>
  </si>
  <si>
    <t>Table 10 - Program Expenditures by Delivery Agent</t>
  </si>
  <si>
    <t>2005 / 2006 Expenditures (million $)</t>
  </si>
  <si>
    <t>Number of Programs</t>
  </si>
  <si>
    <t>CFL Program</t>
  </si>
  <si>
    <t>?</t>
  </si>
  <si>
    <t>Variable Speed Furnace Motor Program</t>
  </si>
  <si>
    <t>Tax exemptions - Condensing furnaces</t>
  </si>
  <si>
    <t>Seasonal Light Emitting Diode Program</t>
  </si>
  <si>
    <t>Residential Electricity to Natural Gas Conversions</t>
  </si>
  <si>
    <t>Cumulative Energy Savings in 2005/2006 (TJ)</t>
  </si>
  <si>
    <t xml:space="preserve"> Incremental Energy Savings in 2005/2006 (TJ)</t>
  </si>
  <si>
    <t>Incremental Program Expenditures in 2005/2006 (millions of dollars)</t>
  </si>
  <si>
    <t>Federal</t>
  </si>
  <si>
    <t>Provincial</t>
  </si>
  <si>
    <t>Municipal</t>
  </si>
  <si>
    <t>Note: Energy savings as reported by delivery agencies; not corrected to account for free-riders, overlapping programs, etc.</t>
  </si>
  <si>
    <t>Note: Estimates do not include consumer/industry spending on energy efficiency measures.</t>
  </si>
  <si>
    <t>Delivery Agent</t>
  </si>
  <si>
    <t>Name</t>
  </si>
  <si>
    <t>Tax exemptions - Site assembled windows</t>
  </si>
  <si>
    <t>Tax exemptions - Insulation</t>
  </si>
  <si>
    <t>Home Energy Upgrade - Renovation Rebate</t>
  </si>
  <si>
    <t>Green cells indicate that the attributed savings fall short of the target</t>
  </si>
  <si>
    <t>Table 1 - Cumulative Energy Savings (by sector)</t>
  </si>
  <si>
    <t>Table 2 - Incremental Energy Savings (by sector)</t>
  </si>
  <si>
    <t>Table 3 - Cumulative Energy Savings (by fuel type)</t>
  </si>
  <si>
    <t>Natural Gas</t>
  </si>
  <si>
    <t>Electricity</t>
  </si>
  <si>
    <t>Table 4 - Incremental Energy Savings (by fuel type)</t>
  </si>
  <si>
    <t>Home Improvement Program and New Home Program</t>
  </si>
  <si>
    <t>29 &amp; 30</t>
  </si>
  <si>
    <t>Totals</t>
  </si>
  <si>
    <t xml:space="preserve">% of Incremental $ Savings from OE </t>
  </si>
  <si>
    <t>Corresponding Partner Reported Savings</t>
  </si>
  <si>
    <t>Corresponding Partner Reported Expenditures</t>
  </si>
  <si>
    <t>Comments / Concerns</t>
  </si>
  <si>
    <t>Estimated Energy Savings (TJ) - (discounted)</t>
  </si>
  <si>
    <t>2002 (fiscal 2002/03)</t>
  </si>
  <si>
    <t>2003 (fiscal 2003/04)</t>
  </si>
  <si>
    <t>2004 (ffiscal 2004/05)</t>
  </si>
  <si>
    <t>2005 (fiscal 2005/06)</t>
  </si>
  <si>
    <t>&lt;== Targeted incremental savings in 2005 (TJ)</t>
  </si>
  <si>
    <t>&lt;== Total energy consumption in 2005 (TJ)</t>
  </si>
  <si>
    <t>Splits are based on…</t>
  </si>
  <si>
    <t>2005 consumption</t>
  </si>
  <si>
    <t>2005 targeted savings</t>
  </si>
  <si>
    <t>Terasen program results</t>
  </si>
  <si>
    <t>Very few MURBs w/ 2 fridges</t>
  </si>
  <si>
    <t>The following parameters are used throughout this spreadsheet.</t>
  </si>
  <si>
    <t>Parameter</t>
  </si>
  <si>
    <t>Value</t>
  </si>
  <si>
    <t>Discount Rate</t>
  </si>
  <si>
    <t>Lifespan of Achieved Savings</t>
  </si>
  <si>
    <t>GHG Intensity - Electricity</t>
  </si>
  <si>
    <t>GHG Intensity - Natural Gas</t>
  </si>
  <si>
    <t>years</t>
  </si>
  <si>
    <t>Units</t>
  </si>
  <si>
    <t>Corresponding Program(s) from "Compiled Information" Sheet</t>
  </si>
  <si>
    <t>Go Green and Go Green +</t>
  </si>
  <si>
    <t>Building Owners</t>
  </si>
  <si>
    <t>Energy* Windows</t>
  </si>
  <si>
    <t xml:space="preserve">Windows </t>
  </si>
  <si>
    <t xml:space="preserve">Energy* Windows </t>
  </si>
  <si>
    <t>Heating</t>
  </si>
  <si>
    <t xml:space="preserve">FortisBC </t>
  </si>
  <si>
    <t>Energy* heating new construction</t>
  </si>
  <si>
    <t>Terasen Gas</t>
  </si>
  <si>
    <t>Energy* heating retrofits &amp; gas fire survey</t>
  </si>
  <si>
    <t>Pacific Northern Gas</t>
  </si>
  <si>
    <t>Heat Pumps and Smart Meters</t>
  </si>
  <si>
    <t>Code Green Reality TV series</t>
  </si>
  <si>
    <t>Code Green</t>
  </si>
  <si>
    <t>Pembina Education</t>
  </si>
  <si>
    <t>Renewable Energy Deployment Initiative</t>
  </si>
  <si>
    <t>NRCan</t>
  </si>
  <si>
    <t>M. Finance</t>
  </si>
  <si>
    <t>Various</t>
  </si>
  <si>
    <t>BCSEA</t>
  </si>
  <si>
    <t>BOMA</t>
  </si>
  <si>
    <t>X</t>
  </si>
  <si>
    <t>BOMA Go Green</t>
  </si>
  <si>
    <t>R-2000</t>
  </si>
  <si>
    <t>EnerGuide for new houses</t>
  </si>
  <si>
    <t>Commercial Buildings Incentive Program</t>
  </si>
  <si>
    <t>Only Source</t>
  </si>
  <si>
    <t>is from OE Reporting</t>
  </si>
  <si>
    <t>Pembina</t>
  </si>
  <si>
    <t>Capacity Building + Training</t>
  </si>
  <si>
    <t xml:space="preserve">Marketing </t>
  </si>
  <si>
    <t xml:space="preserve">Green Buildings Foundation </t>
  </si>
  <si>
    <t>Building Operators Online Training</t>
  </si>
  <si>
    <t>EnerGuide for existing houses</t>
  </si>
  <si>
    <t>Refrigerator Buyback Program</t>
  </si>
  <si>
    <t>Total</t>
  </si>
  <si>
    <t>Attributed Savings - TJ (with assumptions)</t>
  </si>
  <si>
    <t>Cumulative Energy Savings - TJ</t>
  </si>
  <si>
    <t>Incremental Energy Savings - TJ</t>
  </si>
  <si>
    <t xml:space="preserve">The savings in this table only include the savings generated in 2005/2006 </t>
  </si>
  <si>
    <t>by programs that were active in that year.</t>
  </si>
  <si>
    <t>- The provincial govt spending is all MoF and almost all of it is for windows</t>
  </si>
  <si>
    <t>Heat Pumps Program</t>
  </si>
  <si>
    <t>Lighting Program - Residential</t>
  </si>
  <si>
    <t>Window Capacity Building Coordinator</t>
  </si>
  <si>
    <t>MEMPR / contractor</t>
  </si>
  <si>
    <t xml:space="preserve">Training seminars </t>
  </si>
  <si>
    <t>TECA</t>
  </si>
  <si>
    <t>Promotion of PST exemption</t>
  </si>
  <si>
    <t>Insulation</t>
  </si>
  <si>
    <t>NAIMA-Canada</t>
  </si>
  <si>
    <t>Assumptions Required to:</t>
  </si>
  <si>
    <t>Segment by Target</t>
  </si>
  <si>
    <t>Segment by Fuel Type</t>
  </si>
  <si>
    <t>Category</t>
  </si>
  <si>
    <t>Program Applies to…</t>
  </si>
  <si>
    <t>SFD/Row Existing</t>
  </si>
  <si>
    <t>SFD/Row New</t>
  </si>
  <si>
    <t>MURB Existing</t>
  </si>
  <si>
    <t>MURB New</t>
  </si>
  <si>
    <t>Commercial Existing</t>
  </si>
  <si>
    <t>Commercial New</t>
  </si>
  <si>
    <t>Not Designated</t>
  </si>
  <si>
    <t>Program</t>
  </si>
  <si>
    <t>05/06 Electricity (MWh)</t>
  </si>
  <si>
    <t>05/06 Gas (GJ)</t>
  </si>
  <si>
    <t>Program Name (From Liz's Spreadsheet)</t>
  </si>
  <si>
    <t>05/06 Energy Saved (TJ)</t>
  </si>
  <si>
    <t>ESP - subtotal</t>
  </si>
  <si>
    <t>NA - subtotal inserted in this sheet</t>
  </si>
  <si>
    <t>NA</t>
  </si>
  <si>
    <t>EnerGuide for existing buildings</t>
  </si>
  <si>
    <t>Non Designated savings (cumulative)</t>
  </si>
  <si>
    <t>Non Designated savings (incremental)</t>
  </si>
  <si>
    <t>Assumed Target Splits for Savings and Expenditures</t>
  </si>
  <si>
    <t>Incremental Expenditures (millions of nominal $'s)</t>
  </si>
  <si>
    <t>Solar hot water heating program</t>
  </si>
  <si>
    <t>NRCan/CHB-BC</t>
  </si>
  <si>
    <t>BC Hydro</t>
  </si>
  <si>
    <t>Notes for report:</t>
  </si>
  <si>
    <t>Estimated Lifecycle Savings - TJ</t>
  </si>
  <si>
    <t>Estiated Lifecycle GHG reductions - MT</t>
  </si>
  <si>
    <t xml:space="preserve">Policy Evaluation </t>
  </si>
  <si>
    <t xml:space="preserve">Government Policy </t>
  </si>
  <si>
    <t>Ference and Weicker</t>
  </si>
  <si>
    <t>Energy efficiency indicators evaluations</t>
  </si>
  <si>
    <t>Administration</t>
  </si>
  <si>
    <t>Pembina, CIEEDAC</t>
  </si>
  <si>
    <t>MEMPR salaries (APS)</t>
  </si>
  <si>
    <t>MEMPR</t>
  </si>
  <si>
    <t>ESP</t>
  </si>
  <si>
    <t>City Green</t>
  </si>
  <si>
    <t>Travel and Expenses</t>
  </si>
  <si>
    <t>Communications, printing and shipping</t>
  </si>
  <si>
    <t>Government</t>
  </si>
  <si>
    <t>BC Government</t>
  </si>
  <si>
    <t>First Nations Housing Demo</t>
  </si>
  <si>
    <t>Kitasoo</t>
  </si>
  <si>
    <t>CAEE Policy Initiatives</t>
  </si>
  <si>
    <t>Fraser Basin</t>
  </si>
  <si>
    <t xml:space="preserve">Green Buildings BC </t>
  </si>
  <si>
    <t>MLCS</t>
  </si>
  <si>
    <t>Capacity, standards, incentives</t>
  </si>
  <si>
    <t>BC Housing</t>
  </si>
  <si>
    <t>Terasen Total Costs (all programs)</t>
  </si>
  <si>
    <t>High Performance Buildings</t>
  </si>
  <si>
    <t>None</t>
  </si>
  <si>
    <t>None - see subtotal</t>
  </si>
  <si>
    <t>OE Spending (no attributed savings) - sub-total</t>
  </si>
  <si>
    <t>- There are some very big discrepancies in a rough $/GJ comparison</t>
  </si>
  <si>
    <t>Fuel Type</t>
  </si>
  <si>
    <t>Discounted</t>
  </si>
  <si>
    <t>Not Discounted</t>
  </si>
  <si>
    <t>With the exception of the first row, the values in this table rely on assumptions about</t>
  </si>
  <si>
    <t>how long savings achieved in 2005/2006 will last and a selected discount rate.</t>
  </si>
  <si>
    <t>2005/2006 Incremental Expenditures - $M</t>
  </si>
  <si>
    <t>Targetting Residential</t>
  </si>
  <si>
    <t>Targetting Commercial</t>
  </si>
  <si>
    <t>Table 5 - Savings and Expenditures by Delivery Agent</t>
  </si>
  <si>
    <t>Federal Government</t>
  </si>
  <si>
    <t>Provincial Government</t>
  </si>
  <si>
    <t>Municipal Government</t>
  </si>
  <si>
    <t>Electric Utilities</t>
  </si>
  <si>
    <t>Gas Utilities</t>
  </si>
  <si>
    <t xml:space="preserve">Table 6 - Estimated Life Cycle Implications </t>
  </si>
  <si>
    <t xml:space="preserve">The savings in this table are the cumulative energy being saved in 2005/2006 </t>
  </si>
  <si>
    <t>Row Number in 2005-2006 Sheet</t>
  </si>
  <si>
    <t>OE reported values greater than partner reported values</t>
  </si>
  <si>
    <t>Tax exemptions - Ground source heat pumps</t>
  </si>
  <si>
    <t>Category from Liz's Sheet</t>
  </si>
  <si>
    <t>Partner</t>
  </si>
  <si>
    <t>05/06 Spent</t>
  </si>
  <si>
    <t>Row from Liz's Spreadsheet</t>
  </si>
  <si>
    <t>Power Sense EHNH80 + DSM</t>
  </si>
  <si>
    <t>Incentives and Labelling</t>
  </si>
  <si>
    <t>FortisBC</t>
  </si>
  <si>
    <t>Solar Thermal Energy</t>
  </si>
  <si>
    <t>EGNH80 - 200 homes</t>
  </si>
  <si>
    <t xml:space="preserve">Residential Developers </t>
  </si>
  <si>
    <t>CHBA-BC</t>
  </si>
  <si>
    <t>BC Hydro additional costs (not program specific)</t>
  </si>
  <si>
    <t>Mixed</t>
  </si>
  <si>
    <t>Sector</t>
  </si>
  <si>
    <t>Yellow cells indicate that the attributed savings exceed the target</t>
  </si>
  <si>
    <t>tonnes CO2e / TJ</t>
  </si>
  <si>
    <t>OE</t>
  </si>
  <si>
    <t>Other programs</t>
  </si>
  <si>
    <t>OE fraction</t>
  </si>
  <si>
    <t>2005/2006 Incremental Energy Savings - TJ</t>
  </si>
  <si>
    <t>Estimated $ / GJ (discounted)</t>
  </si>
  <si>
    <t>Program cost per energy savings - $/GJ</t>
  </si>
  <si>
    <t>Table 7 - Estimated Opportunities Envelope Contribution to Savings</t>
  </si>
  <si>
    <t>2004/2005 Incremental Expenditures - $M</t>
  </si>
  <si>
    <t>2003/2004 Incremental Expenditures - $M</t>
  </si>
  <si>
    <t>2002/2003 Incremental Expenditures - $M</t>
  </si>
  <si>
    <t>Schools, Universities, Colleges, and Hospitals Program</t>
  </si>
  <si>
    <t>Tax exemptions - Manufactured windows</t>
  </si>
  <si>
    <t>BES Diploma Program</t>
  </si>
  <si>
    <t>Douglas College</t>
  </si>
  <si>
    <t>Program costs per GHG reductions - $/tonne</t>
  </si>
  <si>
    <t>as a result of savings generated between 2002/2003 and 2005/2006.</t>
  </si>
  <si>
    <t>Attributed Savings - TJ (no assumptions)</t>
  </si>
  <si>
    <t>Attributed Savings  - TJ (with assumptions)</t>
  </si>
  <si>
    <t>Targeted Savings - TJ</t>
  </si>
</sst>
</file>

<file path=xl/styles.xml><?xml version="1.0" encoding="utf-8"?>
<styleSheet xmlns="http://schemas.openxmlformats.org/spreadsheetml/2006/main">
  <numFmts count="8">
    <numFmt numFmtId="170" formatCode="_(&quot;$&quot;* #,##0.00_);_(&quot;$&quot;* \(#,##0.00\);_(&quot;$&quot;* &quot;-&quot;??_);_(@_)"/>
    <numFmt numFmtId="171" formatCode="_(* #,##0.00_);_(* \(#,##0.00\);_(* &quot;-&quot;??_);_(@_)"/>
    <numFmt numFmtId="175" formatCode="0.0"/>
    <numFmt numFmtId="179" formatCode="_(* #,##0_);_(* \(#,##0\);_(* &quot;-&quot;??_);_(@_)"/>
    <numFmt numFmtId="181" formatCode="_(&quot;$&quot;* #,##0_);_(&quot;$&quot;* \(#,##0\);_(&quot;$&quot;* &quot;-&quot;??_);_(@_)"/>
    <numFmt numFmtId="182" formatCode="_(* #,##0.0_);_(* \(#,##0.0\);_(* &quot;-&quot;??_);_(@_)"/>
    <numFmt numFmtId="188" formatCode="#,##0.0"/>
    <numFmt numFmtId="189" formatCode="&quot;$&quot;#,##0"/>
  </numFmts>
  <fonts count="12">
    <font>
      <sz val="10"/>
      <name val="Arial"/>
    </font>
    <font>
      <b/>
      <sz val="10"/>
      <name val="Arial"/>
      <family val="2"/>
    </font>
    <font>
      <i/>
      <sz val="10"/>
      <name val="Arial"/>
    </font>
    <font>
      <sz val="10"/>
      <name val="Arial"/>
    </font>
    <font>
      <sz val="9"/>
      <color indexed="81"/>
      <name val="Arial"/>
    </font>
    <font>
      <b/>
      <sz val="9"/>
      <color indexed="81"/>
      <name val="Arial"/>
    </font>
    <font>
      <sz val="8"/>
      <color indexed="81"/>
      <name val="Tahoma"/>
    </font>
    <font>
      <b/>
      <sz val="8"/>
      <color indexed="81"/>
      <name val="Tahoma"/>
    </font>
    <font>
      <sz val="8"/>
      <name val="Arial"/>
    </font>
    <font>
      <i/>
      <sz val="12"/>
      <name val="Arial"/>
    </font>
    <font>
      <b/>
      <sz val="12"/>
      <name val="Arial"/>
    </font>
    <font>
      <b/>
      <sz val="11"/>
      <name val="Arial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71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centerContinuous" vertical="top" wrapText="1"/>
    </xf>
    <xf numFmtId="0" fontId="1" fillId="2" borderId="0" xfId="0" applyFont="1" applyFill="1" applyAlignment="1">
      <alignment vertical="top" wrapText="1"/>
    </xf>
    <xf numFmtId="0" fontId="1" fillId="2" borderId="1" xfId="0" applyFont="1" applyFill="1" applyBorder="1" applyAlignment="1">
      <alignment horizontal="centerContinuous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0" xfId="0" applyNumberFormat="1"/>
    <xf numFmtId="175" fontId="0" fillId="0" borderId="0" xfId="0" applyNumberFormat="1"/>
    <xf numFmtId="0" fontId="0" fillId="0" borderId="0" xfId="0" applyBorder="1"/>
    <xf numFmtId="0" fontId="1" fillId="2" borderId="0" xfId="0" applyFont="1" applyFill="1" applyBorder="1" applyAlignment="1">
      <alignment horizontal="centerContinuous" vertical="top" wrapText="1"/>
    </xf>
    <xf numFmtId="0" fontId="0" fillId="0" borderId="0" xfId="0" applyFill="1" applyBorder="1"/>
    <xf numFmtId="175" fontId="0" fillId="0" borderId="0" xfId="0" applyNumberFormat="1" applyFill="1" applyBorder="1"/>
    <xf numFmtId="175" fontId="0" fillId="0" borderId="0" xfId="0" applyNumberFormat="1" applyBorder="1"/>
    <xf numFmtId="2" fontId="0" fillId="0" borderId="0" xfId="0" applyNumberFormat="1" applyFill="1"/>
    <xf numFmtId="175" fontId="0" fillId="0" borderId="1" xfId="0" applyNumberFormat="1" applyBorder="1"/>
    <xf numFmtId="0" fontId="0" fillId="0" borderId="2" xfId="0" applyBorder="1"/>
    <xf numFmtId="0" fontId="0" fillId="0" borderId="3" xfId="0" applyBorder="1"/>
    <xf numFmtId="175" fontId="0" fillId="0" borderId="2" xfId="0" applyNumberFormat="1" applyBorder="1"/>
    <xf numFmtId="0" fontId="0" fillId="0" borderId="4" xfId="0" applyBorder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175" fontId="0" fillId="3" borderId="4" xfId="0" applyNumberFormat="1" applyFill="1" applyBorder="1"/>
    <xf numFmtId="175" fontId="0" fillId="3" borderId="5" xfId="0" applyNumberFormat="1" applyFill="1" applyBorder="1"/>
    <xf numFmtId="0" fontId="0" fillId="2" borderId="0" xfId="0" applyFill="1"/>
    <xf numFmtId="0" fontId="0" fillId="2" borderId="0" xfId="0" applyFill="1" applyBorder="1"/>
    <xf numFmtId="0" fontId="0" fillId="0" borderId="2" xfId="0" applyFill="1" applyBorder="1"/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9" fontId="0" fillId="0" borderId="6" xfId="3" applyFont="1" applyBorder="1"/>
    <xf numFmtId="9" fontId="0" fillId="0" borderId="2" xfId="3" applyFont="1" applyBorder="1"/>
    <xf numFmtId="9" fontId="0" fillId="0" borderId="7" xfId="3" applyFont="1" applyBorder="1"/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1" fontId="0" fillId="0" borderId="0" xfId="0" applyNumberFormat="1"/>
    <xf numFmtId="1" fontId="0" fillId="0" borderId="0" xfId="0" applyNumberFormat="1" applyFill="1"/>
    <xf numFmtId="175" fontId="0" fillId="0" borderId="0" xfId="0" applyNumberFormat="1" applyFill="1"/>
    <xf numFmtId="0" fontId="1" fillId="0" borderId="8" xfId="0" applyFont="1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175" fontId="0" fillId="0" borderId="8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Fill="1" applyBorder="1" applyAlignment="1">
      <alignment horizontal="center"/>
    </xf>
    <xf numFmtId="9" fontId="0" fillId="0" borderId="0" xfId="3" applyFont="1" applyFill="1" applyBorder="1"/>
    <xf numFmtId="175" fontId="0" fillId="0" borderId="3" xfId="0" applyNumberFormat="1" applyBorder="1"/>
    <xf numFmtId="179" fontId="0" fillId="0" borderId="1" xfId="1" applyNumberFormat="1" applyFont="1" applyFill="1" applyBorder="1"/>
    <xf numFmtId="179" fontId="0" fillId="0" borderId="0" xfId="1" applyNumberFormat="1" applyFont="1" applyFill="1" applyBorder="1"/>
    <xf numFmtId="9" fontId="0" fillId="0" borderId="6" xfId="3" applyFont="1" applyFill="1" applyBorder="1"/>
    <xf numFmtId="0" fontId="1" fillId="0" borderId="1" xfId="0" applyFont="1" applyFill="1" applyBorder="1" applyAlignment="1">
      <alignment horizontal="centerContinuous" vertical="top" wrapText="1"/>
    </xf>
    <xf numFmtId="0" fontId="1" fillId="0" borderId="0" xfId="0" applyFont="1" applyFill="1" applyAlignment="1">
      <alignment horizontal="centerContinuous" vertical="top" wrapText="1"/>
    </xf>
    <xf numFmtId="0" fontId="0" fillId="0" borderId="1" xfId="0" applyFill="1" applyBorder="1"/>
    <xf numFmtId="179" fontId="0" fillId="0" borderId="3" xfId="1" applyNumberFormat="1" applyFont="1" applyFill="1" applyBorder="1"/>
    <xf numFmtId="179" fontId="0" fillId="0" borderId="2" xfId="1" applyNumberFormat="1" applyFont="1" applyFill="1" applyBorder="1"/>
    <xf numFmtId="9" fontId="0" fillId="0" borderId="2" xfId="3" applyFont="1" applyFill="1" applyBorder="1"/>
    <xf numFmtId="9" fontId="0" fillId="0" borderId="7" xfId="3" applyFont="1" applyFill="1" applyBorder="1"/>
    <xf numFmtId="0" fontId="0" fillId="0" borderId="3" xfId="0" applyFill="1" applyBorder="1"/>
    <xf numFmtId="0" fontId="0" fillId="0" borderId="4" xfId="0" applyFill="1" applyBorder="1"/>
    <xf numFmtId="175" fontId="0" fillId="0" borderId="2" xfId="0" applyNumberFormat="1" applyFill="1" applyBorder="1"/>
    <xf numFmtId="2" fontId="0" fillId="0" borderId="1" xfId="0" applyNumberFormat="1" applyFill="1" applyBorder="1"/>
    <xf numFmtId="1" fontId="0" fillId="0" borderId="1" xfId="0" applyNumberFormat="1" applyFill="1" applyBorder="1"/>
    <xf numFmtId="175" fontId="0" fillId="0" borderId="1" xfId="0" applyNumberForma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2" borderId="0" xfId="0" applyFill="1" applyBorder="1" applyAlignment="1">
      <alignment horizontal="center"/>
    </xf>
    <xf numFmtId="2" fontId="0" fillId="0" borderId="0" xfId="0" applyNumberFormat="1" applyFill="1" applyBorder="1"/>
    <xf numFmtId="0" fontId="0" fillId="4" borderId="8" xfId="0" applyFill="1" applyBorder="1" applyAlignment="1">
      <alignment horizontal="center"/>
    </xf>
    <xf numFmtId="175" fontId="0" fillId="0" borderId="7" xfId="0" applyNumberFormat="1" applyFill="1" applyBorder="1"/>
    <xf numFmtId="9" fontId="0" fillId="0" borderId="0" xfId="3" applyFont="1" applyFill="1" applyBorder="1" applyAlignment="1">
      <alignment horizontal="center"/>
    </xf>
    <xf numFmtId="181" fontId="0" fillId="0" borderId="0" xfId="0" applyNumberFormat="1" applyFill="1"/>
    <xf numFmtId="181" fontId="0" fillId="0" borderId="0" xfId="0" applyNumberFormat="1" applyFill="1" applyBorder="1"/>
    <xf numFmtId="179" fontId="0" fillId="0" borderId="0" xfId="0" applyNumberFormat="1" applyFill="1" applyBorder="1"/>
    <xf numFmtId="0" fontId="1" fillId="0" borderId="0" xfId="0" applyFont="1" applyFill="1" applyBorder="1" applyAlignment="1">
      <alignment horizontal="centerContinuous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181" fontId="0" fillId="0" borderId="0" xfId="2" applyNumberFormat="1" applyFont="1" applyFill="1"/>
    <xf numFmtId="179" fontId="0" fillId="0" borderId="0" xfId="1" applyNumberFormat="1" applyFont="1" applyFill="1"/>
    <xf numFmtId="182" fontId="0" fillId="0" borderId="0" xfId="1" applyNumberFormat="1" applyFont="1" applyFill="1" applyBorder="1" applyAlignment="1">
      <alignment horizontal="center"/>
    </xf>
    <xf numFmtId="182" fontId="0" fillId="0" borderId="0" xfId="1" applyNumberFormat="1" applyFont="1" applyFill="1"/>
    <xf numFmtId="179" fontId="0" fillId="0" borderId="0" xfId="1" applyNumberFormat="1" applyFont="1" applyFill="1" applyBorder="1" applyAlignment="1">
      <alignment horizontal="center"/>
    </xf>
    <xf numFmtId="181" fontId="0" fillId="0" borderId="2" xfId="2" applyNumberFormat="1" applyFont="1" applyFill="1" applyBorder="1"/>
    <xf numFmtId="9" fontId="0" fillId="0" borderId="2" xfId="3" applyFont="1" applyFill="1" applyBorder="1" applyAlignment="1">
      <alignment horizontal="center"/>
    </xf>
    <xf numFmtId="182" fontId="0" fillId="0" borderId="2" xfId="1" applyNumberFormat="1" applyFont="1" applyFill="1" applyBorder="1" applyAlignment="1">
      <alignment horizontal="center"/>
    </xf>
    <xf numFmtId="1" fontId="0" fillId="0" borderId="4" xfId="0" applyNumberFormat="1" applyFill="1" applyBorder="1"/>
    <xf numFmtId="0" fontId="0" fillId="0" borderId="6" xfId="0" applyBorder="1" applyAlignment="1">
      <alignment horizontal="center"/>
    </xf>
    <xf numFmtId="188" fontId="0" fillId="0" borderId="10" xfId="0" applyNumberFormat="1" applyBorder="1"/>
    <xf numFmtId="188" fontId="0" fillId="0" borderId="11" xfId="0" applyNumberFormat="1" applyBorder="1"/>
    <xf numFmtId="188" fontId="0" fillId="0" borderId="5" xfId="0" applyNumberFormat="1" applyBorder="1"/>
    <xf numFmtId="188" fontId="0" fillId="0" borderId="4" xfId="0" applyNumberFormat="1" applyBorder="1"/>
    <xf numFmtId="188" fontId="0" fillId="0" borderId="0" xfId="0" applyNumberFormat="1" applyFill="1" applyBorder="1"/>
    <xf numFmtId="188" fontId="0" fillId="3" borderId="4" xfId="0" applyNumberFormat="1" applyFill="1" applyBorder="1"/>
    <xf numFmtId="188" fontId="0" fillId="0" borderId="4" xfId="0" applyNumberFormat="1" applyFill="1" applyBorder="1"/>
    <xf numFmtId="188" fontId="0" fillId="0" borderId="5" xfId="0" applyNumberFormat="1" applyFill="1" applyBorder="1"/>
    <xf numFmtId="175" fontId="0" fillId="2" borderId="0" xfId="0" applyNumberFormat="1" applyFill="1" applyBorder="1"/>
    <xf numFmtId="9" fontId="0" fillId="0" borderId="1" xfId="3" applyFont="1" applyFill="1" applyBorder="1"/>
    <xf numFmtId="9" fontId="1" fillId="0" borderId="0" xfId="3" applyFont="1" applyFill="1" applyAlignment="1">
      <alignment horizontal="centerContinuous" vertical="top" wrapText="1"/>
    </xf>
    <xf numFmtId="9" fontId="0" fillId="0" borderId="0" xfId="3" applyFont="1" applyFill="1"/>
    <xf numFmtId="9" fontId="0" fillId="0" borderId="3" xfId="3" applyFont="1" applyFill="1" applyBorder="1"/>
    <xf numFmtId="0" fontId="1" fillId="0" borderId="1" xfId="0" applyFont="1" applyFill="1" applyBorder="1" applyAlignment="1">
      <alignment horizontal="centerContinuous" vertical="top"/>
    </xf>
    <xf numFmtId="0" fontId="1" fillId="0" borderId="0" xfId="0" applyFont="1" applyFill="1" applyAlignment="1">
      <alignment horizontal="centerContinuous" vertical="top"/>
    </xf>
    <xf numFmtId="0" fontId="1" fillId="0" borderId="0" xfId="0" applyFont="1" applyFill="1" applyAlignment="1">
      <alignment horizontal="center" vertical="top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 indent="1"/>
    </xf>
    <xf numFmtId="0" fontId="0" fillId="2" borderId="0" xfId="0" applyFill="1" applyBorder="1" applyAlignment="1">
      <alignment horizontal="left" indent="2"/>
    </xf>
    <xf numFmtId="0" fontId="1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/>
    </xf>
    <xf numFmtId="1" fontId="0" fillId="0" borderId="5" xfId="0" applyNumberFormat="1" applyFill="1" applyBorder="1"/>
    <xf numFmtId="3" fontId="0" fillId="0" borderId="0" xfId="0" applyNumberFormat="1" applyFill="1" applyBorder="1"/>
    <xf numFmtId="175" fontId="0" fillId="0" borderId="6" xfId="0" applyNumberFormat="1" applyFill="1" applyBorder="1"/>
    <xf numFmtId="0" fontId="9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9" fontId="0" fillId="0" borderId="0" xfId="0" applyNumberFormat="1"/>
    <xf numFmtId="0" fontId="1" fillId="0" borderId="6" xfId="0" applyFont="1" applyFill="1" applyBorder="1" applyAlignment="1">
      <alignment horizontal="centerContinuous" vertical="top" wrapText="1"/>
    </xf>
    <xf numFmtId="0" fontId="0" fillId="0" borderId="0" xfId="0" applyFill="1" applyBorder="1" applyAlignment="1">
      <alignment horizontal="centerContinuous" wrapText="1"/>
    </xf>
    <xf numFmtId="0" fontId="0" fillId="0" borderId="6" xfId="0" applyFill="1" applyBorder="1" applyAlignment="1">
      <alignment horizontal="centerContinuous" wrapText="1"/>
    </xf>
    <xf numFmtId="3" fontId="0" fillId="0" borderId="1" xfId="0" applyNumberFormat="1" applyFill="1" applyBorder="1"/>
    <xf numFmtId="189" fontId="0" fillId="0" borderId="0" xfId="0" applyNumberFormat="1" applyFill="1" applyBorder="1"/>
    <xf numFmtId="189" fontId="0" fillId="0" borderId="6" xfId="0" applyNumberFormat="1" applyFill="1" applyBorder="1"/>
    <xf numFmtId="3" fontId="0" fillId="0" borderId="3" xfId="0" applyNumberFormat="1" applyFill="1" applyBorder="1"/>
    <xf numFmtId="3" fontId="0" fillId="0" borderId="2" xfId="0" applyNumberFormat="1" applyFill="1" applyBorder="1"/>
    <xf numFmtId="189" fontId="0" fillId="0" borderId="7" xfId="0" applyNumberFormat="1" applyFill="1" applyBorder="1"/>
    <xf numFmtId="3" fontId="0" fillId="0" borderId="10" xfId="0" applyNumberFormat="1" applyFill="1" applyBorder="1"/>
    <xf numFmtId="3" fontId="0" fillId="0" borderId="11" xfId="0" applyNumberFormat="1" applyFill="1" applyBorder="1"/>
    <xf numFmtId="189" fontId="0" fillId="0" borderId="11" xfId="0" applyNumberFormat="1" applyFill="1" applyBorder="1"/>
    <xf numFmtId="189" fontId="0" fillId="0" borderId="12" xfId="0" applyNumberFormat="1" applyFill="1" applyBorder="1"/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175" fontId="0" fillId="3" borderId="8" xfId="0" applyNumberForma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188" fontId="0" fillId="3" borderId="14" xfId="0" applyNumberFormat="1" applyFill="1" applyBorder="1"/>
    <xf numFmtId="0" fontId="0" fillId="3" borderId="5" xfId="0" applyFill="1" applyBorder="1"/>
    <xf numFmtId="0" fontId="0" fillId="3" borderId="14" xfId="0" applyFill="1" applyBorder="1"/>
    <xf numFmtId="175" fontId="0" fillId="0" borderId="10" xfId="0" applyNumberFormat="1" applyFill="1" applyBorder="1"/>
    <xf numFmtId="175" fontId="0" fillId="0" borderId="11" xfId="0" applyNumberFormat="1" applyFill="1" applyBorder="1"/>
    <xf numFmtId="175" fontId="0" fillId="0" borderId="12" xfId="0" applyNumberFormat="1" applyFill="1" applyBorder="1"/>
    <xf numFmtId="0" fontId="10" fillId="0" borderId="0" xfId="0" applyFont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6" borderId="5" xfId="0" applyFill="1" applyBorder="1"/>
    <xf numFmtId="0" fontId="0" fillId="6" borderId="4" xfId="0" applyFill="1" applyBorder="1"/>
    <xf numFmtId="0" fontId="0" fillId="6" borderId="14" xfId="0" applyFill="1" applyBorder="1"/>
    <xf numFmtId="0" fontId="11" fillId="0" borderId="18" xfId="0" applyFont="1" applyBorder="1" applyAlignment="1">
      <alignment horizontal="centerContinuous"/>
    </xf>
    <xf numFmtId="0" fontId="2" fillId="0" borderId="18" xfId="0" applyFont="1" applyFill="1" applyBorder="1" applyAlignment="1">
      <alignment horizontal="centerContinuous" vertical="top" wrapText="1"/>
    </xf>
    <xf numFmtId="0" fontId="0" fillId="0" borderId="0" xfId="0" applyBorder="1" applyAlignment="1">
      <alignment horizontal="center" vertical="center"/>
    </xf>
    <xf numFmtId="3" fontId="0" fillId="0" borderId="18" xfId="0" applyNumberFormat="1" applyBorder="1" applyAlignment="1">
      <alignment horizontal="center" vertical="center"/>
    </xf>
    <xf numFmtId="188" fontId="0" fillId="0" borderId="0" xfId="0" applyNumberFormat="1" applyBorder="1"/>
    <xf numFmtId="188" fontId="0" fillId="0" borderId="12" xfId="0" applyNumberFormat="1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14" xfId="0" applyFill="1" applyBorder="1"/>
    <xf numFmtId="0" fontId="0" fillId="0" borderId="0" xfId="0" quotePrefix="1"/>
    <xf numFmtId="0" fontId="0" fillId="0" borderId="0" xfId="0" quotePrefix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 wrapText="1"/>
    </xf>
    <xf numFmtId="3" fontId="0" fillId="0" borderId="18" xfId="0" applyNumberFormat="1" applyFill="1" applyBorder="1" applyAlignment="1">
      <alignment horizontal="center" vertical="center"/>
    </xf>
    <xf numFmtId="9" fontId="0" fillId="0" borderId="18" xfId="3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center" vertical="center"/>
    </xf>
    <xf numFmtId="9" fontId="3" fillId="0" borderId="1" xfId="3" applyFont="1" applyFill="1" applyBorder="1" applyAlignment="1">
      <alignment horizontal="right" vertical="top"/>
    </xf>
    <xf numFmtId="9" fontId="3" fillId="0" borderId="0" xfId="3" applyFont="1" applyFill="1" applyAlignment="1">
      <alignment horizontal="right" vertical="top"/>
    </xf>
    <xf numFmtId="3" fontId="0" fillId="0" borderId="0" xfId="0" applyNumberFormat="1" applyBorder="1" applyAlignment="1">
      <alignment horizontal="left" vertical="center"/>
    </xf>
    <xf numFmtId="188" fontId="0" fillId="0" borderId="18" xfId="0" applyNumberFormat="1" applyBorder="1" applyAlignment="1">
      <alignment horizontal="center" vertical="center"/>
    </xf>
    <xf numFmtId="9" fontId="0" fillId="0" borderId="0" xfId="3" applyFont="1"/>
    <xf numFmtId="0" fontId="2" fillId="0" borderId="18" xfId="0" applyFont="1" applyFill="1" applyBorder="1" applyAlignment="1">
      <alignment horizontal="centerContinuous" vertical="top"/>
    </xf>
    <xf numFmtId="0" fontId="0" fillId="0" borderId="19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3" fontId="0" fillId="0" borderId="0" xfId="0" quotePrefix="1" applyNumberFormat="1" applyFill="1" applyBorder="1"/>
    <xf numFmtId="0" fontId="2" fillId="0" borderId="18" xfId="0" applyFont="1" applyBorder="1" applyAlignment="1">
      <alignment horizontal="left" vertical="center" wrapText="1" indent="1"/>
    </xf>
    <xf numFmtId="0" fontId="0" fillId="0" borderId="0" xfId="0" applyAlignment="1">
      <alignment horizontal="left" indent="1"/>
    </xf>
    <xf numFmtId="0" fontId="0" fillId="2" borderId="0" xfId="0" applyFill="1" applyAlignment="1">
      <alignment horizontal="left" indent="1"/>
    </xf>
    <xf numFmtId="0" fontId="0" fillId="0" borderId="0" xfId="0" applyFill="1" applyBorder="1" applyAlignment="1">
      <alignment horizontal="left" vertical="center" indent="1"/>
    </xf>
    <xf numFmtId="0" fontId="2" fillId="0" borderId="13" xfId="0" applyFont="1" applyFill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textRotation="90"/>
    </xf>
    <xf numFmtId="0" fontId="2" fillId="0" borderId="8" xfId="0" applyFont="1" applyBorder="1" applyAlignment="1">
      <alignment horizontal="center" vertical="center" textRotation="90"/>
    </xf>
    <xf numFmtId="0" fontId="2" fillId="0" borderId="13" xfId="0" applyFont="1" applyBorder="1" applyAlignment="1">
      <alignment horizontal="center" vertical="center" textRotation="90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4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  <dxf>
      <fill>
        <patternFill>
          <bgColor indexed="42"/>
        </patternFill>
      </fill>
    </dxf>
    <dxf>
      <fill>
        <patternFill>
          <bgColor indexed="4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tthorne\Documents\Projects%20-%20Active\634%20-%20BC%20Building%20EE\Phase%203%20-%20MEMPR%20Evaluation%20Strategy\Analysis%20of%20Targets%20-%20August%20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oneill\AppData\Local\Microsoft\Windows\Temporary%20Internet%20Files\Content.Outlook\D42268RN\BC%20Hydro%20Program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oneill\AppData\Local\Microsoft\Windows\Temporary%20Internet%20Files\Content.Outlook\D42268RN\EnerGuide%20for%20Existing%20Building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oneill\AppData\Local\Microsoft\Windows\Temporary%20Internet%20Files\Content.Outlook\D42268RN\CBIP%20ANALYSI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oneill\AppData\Local\Microsoft\Windows\Temporary%20Internet%20Files\Content.Outlook\D42268RN\Fortis%20BC%20Programs%20-%20Savings%20and%20Cost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4">
          <cell r="AQ4">
            <v>971.81355106157241</v>
          </cell>
        </row>
        <row r="5">
          <cell r="AQ5">
            <v>228.77805698659114</v>
          </cell>
        </row>
        <row r="6">
          <cell r="AQ6">
            <v>378.12968684593608</v>
          </cell>
        </row>
        <row r="7">
          <cell r="AQ7">
            <v>1073.1330816246043</v>
          </cell>
        </row>
        <row r="8">
          <cell r="AQ8">
            <v>163.79240858229949</v>
          </cell>
        </row>
        <row r="9">
          <cell r="AQ9">
            <v>1475.3166064668194</v>
          </cell>
        </row>
        <row r="10">
          <cell r="AQ10">
            <v>396.70350235444823</v>
          </cell>
        </row>
        <row r="11">
          <cell r="AQ11">
            <v>93.234040312560438</v>
          </cell>
        </row>
        <row r="12">
          <cell r="AQ12">
            <v>162.57915008820947</v>
          </cell>
        </row>
        <row r="13">
          <cell r="AQ13">
            <v>268.28327040615818</v>
          </cell>
        </row>
        <row r="14">
          <cell r="AQ14">
            <v>40.948102145573984</v>
          </cell>
        </row>
        <row r="15">
          <cell r="AQ15">
            <v>368.82915161669416</v>
          </cell>
        </row>
        <row r="55">
          <cell r="H55">
            <v>10.821894446308628</v>
          </cell>
        </row>
        <row r="56">
          <cell r="H56">
            <v>2.2051996888580034</v>
          </cell>
        </row>
        <row r="57">
          <cell r="H57">
            <v>6.6394240314966657</v>
          </cell>
        </row>
        <row r="59">
          <cell r="H59">
            <v>118</v>
          </cell>
        </row>
        <row r="60">
          <cell r="H60">
            <v>24.9</v>
          </cell>
        </row>
        <row r="61">
          <cell r="H61">
            <v>122.4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UPDATED energy savings"/>
      <sheetName val="Sheet1"/>
      <sheetName val="cumulativecostsfrom 1989"/>
      <sheetName val="BCH EE Plan"/>
    </sheetNames>
    <sheetDataSet>
      <sheetData sheetId="0"/>
      <sheetData sheetId="1"/>
      <sheetData sheetId="2"/>
      <sheetData sheetId="3"/>
      <sheetData sheetId="4">
        <row r="27">
          <cell r="G27">
            <v>172.90013759999991</v>
          </cell>
          <cell r="I27">
            <v>961.30013759999997</v>
          </cell>
        </row>
        <row r="28">
          <cell r="D28">
            <v>8872</v>
          </cell>
          <cell r="E28">
            <v>10570</v>
          </cell>
          <cell r="F28">
            <v>7861</v>
          </cell>
          <cell r="G28">
            <v>6517</v>
          </cell>
        </row>
        <row r="32">
          <cell r="G32">
            <v>64.898193599999999</v>
          </cell>
          <cell r="I32">
            <v>363.69819359999997</v>
          </cell>
        </row>
        <row r="33">
          <cell r="D33">
            <v>4098</v>
          </cell>
          <cell r="E33">
            <v>2410</v>
          </cell>
          <cell r="F33">
            <v>3951</v>
          </cell>
          <cell r="G33">
            <v>6039.3928299999998</v>
          </cell>
        </row>
        <row r="42">
          <cell r="G42">
            <v>53.467473599999998</v>
          </cell>
          <cell r="I42">
            <v>89.467473600000005</v>
          </cell>
        </row>
        <row r="43">
          <cell r="D43">
            <v>15</v>
          </cell>
          <cell r="E43">
            <v>587</v>
          </cell>
          <cell r="F43">
            <v>1276</v>
          </cell>
          <cell r="G43">
            <v>1259.8135200000002</v>
          </cell>
        </row>
        <row r="47">
          <cell r="G47">
            <v>0</v>
          </cell>
          <cell r="I47">
            <v>28.8</v>
          </cell>
        </row>
        <row r="48">
          <cell r="D48">
            <v>0</v>
          </cell>
          <cell r="E48">
            <v>169</v>
          </cell>
          <cell r="F48">
            <v>521</v>
          </cell>
          <cell r="G48">
            <v>9</v>
          </cell>
        </row>
        <row r="52">
          <cell r="G52">
            <v>0</v>
          </cell>
          <cell r="I52">
            <v>18</v>
          </cell>
        </row>
        <row r="53">
          <cell r="D53">
            <v>0</v>
          </cell>
          <cell r="E53">
            <v>74</v>
          </cell>
          <cell r="F53">
            <v>400</v>
          </cell>
          <cell r="G53">
            <v>287.59257000000002</v>
          </cell>
        </row>
        <row r="60">
          <cell r="G60">
            <v>20.66039967474283</v>
          </cell>
          <cell r="I60">
            <v>85.460399674742831</v>
          </cell>
        </row>
        <row r="61">
          <cell r="D61">
            <v>377</v>
          </cell>
          <cell r="E61">
            <v>309</v>
          </cell>
          <cell r="F61">
            <v>405</v>
          </cell>
          <cell r="G61">
            <v>253.95716000000002</v>
          </cell>
        </row>
        <row r="65">
          <cell r="G65">
            <v>2.6434808279999991</v>
          </cell>
          <cell r="I65">
            <v>17.043480828</v>
          </cell>
        </row>
        <row r="66">
          <cell r="D66">
            <v>267</v>
          </cell>
          <cell r="E66">
            <v>448</v>
          </cell>
          <cell r="F66">
            <v>354</v>
          </cell>
          <cell r="G66">
            <v>306</v>
          </cell>
        </row>
        <row r="70">
          <cell r="G70">
            <v>2.5929100079999996</v>
          </cell>
          <cell r="I70">
            <v>9.7929100079999998</v>
          </cell>
        </row>
        <row r="71">
          <cell r="D71">
            <v>0</v>
          </cell>
          <cell r="E71">
            <v>112</v>
          </cell>
          <cell r="F71">
            <v>16</v>
          </cell>
          <cell r="G71">
            <v>119.75372</v>
          </cell>
        </row>
        <row r="75">
          <cell r="G75">
            <v>7.8317639999999979</v>
          </cell>
          <cell r="I75">
            <v>15.031763999999999</v>
          </cell>
        </row>
        <row r="76">
          <cell r="D76">
            <v>0</v>
          </cell>
          <cell r="E76">
            <v>86</v>
          </cell>
          <cell r="F76">
            <v>229</v>
          </cell>
          <cell r="G76">
            <v>140.47615999999999</v>
          </cell>
        </row>
        <row r="80">
          <cell r="G80">
            <v>95.599046866499918</v>
          </cell>
          <cell r="I80">
            <v>307.99904686649995</v>
          </cell>
        </row>
        <row r="81">
          <cell r="D81">
            <v>1164</v>
          </cell>
          <cell r="E81">
            <v>3316</v>
          </cell>
          <cell r="F81">
            <v>4897</v>
          </cell>
          <cell r="G81">
            <v>3626.6280200000001</v>
          </cell>
        </row>
        <row r="85">
          <cell r="G85">
            <v>8.2834869870000123</v>
          </cell>
          <cell r="I85">
            <v>83.883486987000012</v>
          </cell>
        </row>
        <row r="86">
          <cell r="D86">
            <v>556</v>
          </cell>
          <cell r="E86">
            <v>710</v>
          </cell>
          <cell r="F86">
            <v>807</v>
          </cell>
          <cell r="G86">
            <v>1089.61319</v>
          </cell>
        </row>
        <row r="90">
          <cell r="G90">
            <v>106.39606694400031</v>
          </cell>
          <cell r="I90">
            <v>1222.3960669440003</v>
          </cell>
        </row>
        <row r="91">
          <cell r="D91">
            <v>7528</v>
          </cell>
          <cell r="E91">
            <v>13316</v>
          </cell>
          <cell r="F91">
            <v>4047</v>
          </cell>
          <cell r="G91">
            <v>2022.5119900000002</v>
          </cell>
        </row>
        <row r="109">
          <cell r="D109">
            <v>11039</v>
          </cell>
          <cell r="E109">
            <v>7421</v>
          </cell>
          <cell r="F109">
            <v>6881</v>
          </cell>
          <cell r="G109">
            <v>6036.4712003945024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c 4 year"/>
    </sheetNames>
    <sheetDataSet>
      <sheetData sheetId="0">
        <row r="6">
          <cell r="P6">
            <v>908209.86</v>
          </cell>
          <cell r="Q6">
            <v>564774.49</v>
          </cell>
          <cell r="R6">
            <v>1394316</v>
          </cell>
          <cell r="S6">
            <v>722040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Analysis"/>
      <sheetName val="EnergySavings by Fuel"/>
    </sheetNames>
    <sheetDataSet>
      <sheetData sheetId="0"/>
      <sheetData sheetId="1">
        <row r="33">
          <cell r="P33">
            <v>804684.90200000012</v>
          </cell>
          <cell r="Q33">
            <v>346249.14</v>
          </cell>
          <cell r="R33">
            <v>295693.36</v>
          </cell>
          <cell r="S33">
            <v>398859.94</v>
          </cell>
        </row>
      </sheetData>
      <sheetData sheetId="2">
        <row r="32">
          <cell r="H32">
            <v>52596.016000000003</v>
          </cell>
          <cell r="I32">
            <v>129188.44100000005</v>
          </cell>
        </row>
        <row r="33">
          <cell r="H33">
            <v>13885.620999999999</v>
          </cell>
          <cell r="I33">
            <v>67853.138999999996</v>
          </cell>
        </row>
        <row r="38">
          <cell r="I38">
            <v>13504.510799999998</v>
          </cell>
        </row>
        <row r="39">
          <cell r="I39">
            <v>2393.7408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8">
          <cell r="W8">
            <v>78</v>
          </cell>
          <cell r="X8">
            <v>26.3</v>
          </cell>
          <cell r="Y8">
            <v>45</v>
          </cell>
          <cell r="Z8">
            <v>41.7</v>
          </cell>
        </row>
        <row r="9">
          <cell r="W9">
            <v>87</v>
          </cell>
          <cell r="X9">
            <v>146</v>
          </cell>
          <cell r="Y9">
            <v>370</v>
          </cell>
          <cell r="Z9">
            <v>317.5</v>
          </cell>
        </row>
        <row r="10">
          <cell r="W10">
            <v>325</v>
          </cell>
          <cell r="X10">
            <v>383</v>
          </cell>
          <cell r="Y10">
            <v>490</v>
          </cell>
          <cell r="Z10">
            <v>673.1</v>
          </cell>
        </row>
        <row r="11">
          <cell r="W11">
            <v>53</v>
          </cell>
          <cell r="X11">
            <v>113.4</v>
          </cell>
          <cell r="Y11">
            <v>189</v>
          </cell>
          <cell r="Z11">
            <v>131.69999999999999</v>
          </cell>
        </row>
        <row r="15">
          <cell r="W15">
            <v>695</v>
          </cell>
          <cell r="X15">
            <v>579.20000000000005</v>
          </cell>
          <cell r="Y15">
            <v>525</v>
          </cell>
          <cell r="Z15">
            <v>742.4</v>
          </cell>
        </row>
        <row r="16">
          <cell r="W16">
            <v>193</v>
          </cell>
          <cell r="X16">
            <v>317.5</v>
          </cell>
          <cell r="Y16">
            <v>276</v>
          </cell>
          <cell r="Z16">
            <v>281.7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zoomScale="150" workbookViewId="0">
      <selection activeCell="B6" sqref="B6"/>
    </sheetView>
  </sheetViews>
  <sheetFormatPr defaultColWidth="11.42578125" defaultRowHeight="12.75"/>
  <cols>
    <col min="1" max="1" width="25" customWidth="1"/>
  </cols>
  <sheetData>
    <row r="1" spans="1:7" ht="15">
      <c r="A1" s="115" t="s">
        <v>91</v>
      </c>
    </row>
    <row r="3" spans="1:7">
      <c r="A3" s="117" t="s">
        <v>92</v>
      </c>
      <c r="B3" s="116" t="s">
        <v>93</v>
      </c>
      <c r="C3" s="116" t="s">
        <v>99</v>
      </c>
    </row>
    <row r="4" spans="1:7">
      <c r="A4" s="118" t="s">
        <v>94</v>
      </c>
      <c r="B4" s="119">
        <v>0.06</v>
      </c>
    </row>
    <row r="5" spans="1:7">
      <c r="A5" s="118" t="s">
        <v>95</v>
      </c>
      <c r="B5">
        <v>20</v>
      </c>
      <c r="C5" t="s">
        <v>98</v>
      </c>
    </row>
    <row r="6" spans="1:7">
      <c r="A6" s="118" t="s">
        <v>96</v>
      </c>
      <c r="B6">
        <f>F6*1000/3600</f>
        <v>100</v>
      </c>
      <c r="C6" t="s">
        <v>245</v>
      </c>
      <c r="F6">
        <v>360</v>
      </c>
      <c r="G6" t="s">
        <v>20</v>
      </c>
    </row>
    <row r="7" spans="1:7">
      <c r="A7" s="118" t="s">
        <v>97</v>
      </c>
      <c r="B7" s="11">
        <f>0.04968*1000</f>
        <v>49.68</v>
      </c>
      <c r="C7" t="s">
        <v>245</v>
      </c>
    </row>
  </sheetData>
  <phoneticPr fontId="8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07"/>
  <sheetViews>
    <sheetView workbookViewId="0">
      <selection activeCell="C21" sqref="C21"/>
    </sheetView>
  </sheetViews>
  <sheetFormatPr defaultColWidth="11.42578125" defaultRowHeight="15.75"/>
  <cols>
    <col min="1" max="1" width="4" style="143" customWidth="1"/>
    <col min="2" max="2" width="21.7109375" style="179" customWidth="1"/>
    <col min="3" max="10" width="10.42578125" customWidth="1"/>
  </cols>
  <sheetData>
    <row r="1" spans="1:18">
      <c r="A1" s="143" t="s">
        <v>66</v>
      </c>
    </row>
    <row r="3" spans="1:18">
      <c r="C3" s="156" t="s">
        <v>226</v>
      </c>
      <c r="D3" s="157"/>
      <c r="E3" s="157"/>
      <c r="F3" s="157"/>
      <c r="G3" s="157"/>
      <c r="H3" s="158"/>
    </row>
    <row r="4" spans="1:18">
      <c r="C4" s="159" t="s">
        <v>261</v>
      </c>
      <c r="D4" s="160"/>
      <c r="E4" s="160"/>
      <c r="F4" s="160"/>
      <c r="G4" s="160"/>
      <c r="H4" s="161"/>
    </row>
    <row r="6" spans="1:18">
      <c r="B6" s="180"/>
      <c r="C6" s="150" t="s">
        <v>243</v>
      </c>
      <c r="D6" s="150"/>
      <c r="E6" s="150"/>
      <c r="F6" s="150"/>
      <c r="G6" s="150"/>
      <c r="H6" s="150"/>
      <c r="I6" s="150"/>
      <c r="J6" s="150"/>
    </row>
    <row r="7" spans="1:18" ht="38.25">
      <c r="B7" s="180"/>
      <c r="C7" s="151" t="s">
        <v>157</v>
      </c>
      <c r="D7" s="151" t="s">
        <v>158</v>
      </c>
      <c r="E7" s="151" t="s">
        <v>159</v>
      </c>
      <c r="F7" s="151" t="s">
        <v>160</v>
      </c>
      <c r="G7" s="151" t="s">
        <v>161</v>
      </c>
      <c r="H7" s="151" t="s">
        <v>162</v>
      </c>
      <c r="I7" s="151" t="s">
        <v>163</v>
      </c>
      <c r="J7" s="151" t="s">
        <v>136</v>
      </c>
      <c r="L7" s="164"/>
    </row>
    <row r="8" spans="1:18" ht="26.1" customHeight="1">
      <c r="B8" s="178" t="s">
        <v>262</v>
      </c>
      <c r="C8" s="153">
        <f>'Compiled Information'!J52</f>
        <v>1151.8258808280002</v>
      </c>
      <c r="D8" s="153">
        <f>'Compiled Information'!K52</f>
        <v>94.548399674742839</v>
      </c>
      <c r="E8" s="153">
        <f>'Compiled Information'!L52</f>
        <v>0</v>
      </c>
      <c r="F8" s="153">
        <f>'Compiled Information'!M52</f>
        <v>17.399999999999999</v>
      </c>
      <c r="G8" s="153">
        <f>'Compiled Information'!N52</f>
        <v>1463.0483311999999</v>
      </c>
      <c r="H8" s="153">
        <f>'Compiled Information'!O52</f>
        <v>234.3</v>
      </c>
      <c r="I8" s="153">
        <f>'Compiled Information'!Q52</f>
        <v>2848.6958022055014</v>
      </c>
      <c r="J8" s="153">
        <f>SUM(C8:I8)</f>
        <v>5809.8184139082441</v>
      </c>
      <c r="L8" s="162"/>
    </row>
    <row r="9" spans="1:18" ht="26.1" customHeight="1">
      <c r="B9" s="178" t="s">
        <v>263</v>
      </c>
      <c r="C9" s="153">
        <f>'Compiled Information'!AQ52</f>
        <v>2524.9103214131082</v>
      </c>
      <c r="D9" s="153">
        <f>'Compiled Information'!AR52</f>
        <v>242.58533379023547</v>
      </c>
      <c r="E9" s="153">
        <f>'Compiled Information'!AS52</f>
        <v>345.57519247784268</v>
      </c>
      <c r="F9" s="153">
        <f>'Compiled Information'!AT52</f>
        <v>48.609477930816411</v>
      </c>
      <c r="G9" s="153">
        <f>'Compiled Information'!AU52</f>
        <v>2396.9095658032375</v>
      </c>
      <c r="H9" s="153">
        <f>'Compiled Information'!AV52</f>
        <v>251.22852249300246</v>
      </c>
      <c r="I9" s="153" t="s">
        <v>171</v>
      </c>
      <c r="J9" s="153">
        <f>SUM(C9:I9)</f>
        <v>5809.8184139082432</v>
      </c>
      <c r="L9" s="177">
        <f>C9+E9+G9</f>
        <v>5267.3950796941881</v>
      </c>
      <c r="M9" s="177">
        <f>D9+F9+H9</f>
        <v>542.42333421405442</v>
      </c>
      <c r="N9" s="14"/>
      <c r="O9" s="14"/>
      <c r="P9" s="14"/>
      <c r="Q9" s="14"/>
      <c r="R9" s="3"/>
    </row>
    <row r="10" spans="1:18" ht="26.1" customHeight="1">
      <c r="B10" s="178" t="s">
        <v>264</v>
      </c>
      <c r="C10" s="153">
        <f>'Compiled Information'!J53</f>
        <v>1073.1330816246043</v>
      </c>
      <c r="D10" s="153">
        <f>'Compiled Information'!K53</f>
        <v>971.81355106157241</v>
      </c>
      <c r="E10" s="153">
        <f>'Compiled Information'!L53</f>
        <v>163.79240858229949</v>
      </c>
      <c r="F10" s="153">
        <f>'Compiled Information'!M53</f>
        <v>228.77805698659114</v>
      </c>
      <c r="G10" s="153">
        <f>'Compiled Information'!N53</f>
        <v>1475.3166064668194</v>
      </c>
      <c r="H10" s="153">
        <f>'Compiled Information'!O53</f>
        <v>378.12968684593608</v>
      </c>
      <c r="I10" s="153" t="s">
        <v>171</v>
      </c>
      <c r="J10" s="153">
        <f>SUM(C10:I10)</f>
        <v>4290.9633915678232</v>
      </c>
      <c r="L10" s="177">
        <f>C10+E10+G10</f>
        <v>2712.2420966737232</v>
      </c>
      <c r="M10" s="177">
        <f>D10+F10+H10</f>
        <v>1578.7212948940996</v>
      </c>
      <c r="N10" s="14"/>
      <c r="O10" s="14"/>
      <c r="P10" s="14"/>
      <c r="Q10" s="14"/>
      <c r="R10" s="3"/>
    </row>
    <row r="11" spans="1:18">
      <c r="B11" s="180"/>
      <c r="C11" s="27"/>
      <c r="D11" s="27"/>
      <c r="E11" s="27"/>
      <c r="F11" s="27"/>
      <c r="G11" s="27"/>
      <c r="H11" s="27"/>
      <c r="I11" s="27"/>
      <c r="J11" s="27"/>
    </row>
    <row r="12" spans="1:18">
      <c r="B12" s="180"/>
      <c r="C12" s="144" t="s">
        <v>244</v>
      </c>
      <c r="D12" s="145"/>
      <c r="E12" s="145"/>
      <c r="F12" s="145"/>
      <c r="G12" s="145"/>
      <c r="H12" s="146"/>
      <c r="I12" s="27"/>
      <c r="J12" s="27"/>
    </row>
    <row r="13" spans="1:18">
      <c r="B13" s="180"/>
      <c r="C13" s="147" t="s">
        <v>65</v>
      </c>
      <c r="D13" s="148"/>
      <c r="E13" s="148"/>
      <c r="F13" s="148"/>
      <c r="G13" s="148"/>
      <c r="H13" s="149"/>
      <c r="I13" s="27"/>
      <c r="J13" s="27"/>
    </row>
    <row r="16" spans="1:18">
      <c r="A16" s="143" t="s">
        <v>67</v>
      </c>
    </row>
    <row r="18" spans="1:10">
      <c r="C18" s="156" t="s">
        <v>140</v>
      </c>
      <c r="D18" s="157"/>
      <c r="E18" s="157"/>
      <c r="F18" s="157"/>
      <c r="G18" s="157"/>
      <c r="H18" s="158"/>
    </row>
    <row r="19" spans="1:10">
      <c r="C19" s="159" t="s">
        <v>141</v>
      </c>
      <c r="D19" s="160"/>
      <c r="E19" s="160"/>
      <c r="F19" s="160"/>
      <c r="G19" s="160"/>
      <c r="H19" s="161"/>
    </row>
    <row r="21" spans="1:10">
      <c r="C21" s="150" t="s">
        <v>243</v>
      </c>
      <c r="D21" s="150"/>
      <c r="E21" s="150"/>
      <c r="F21" s="150"/>
      <c r="G21" s="150"/>
      <c r="H21" s="150"/>
      <c r="I21" s="150"/>
      <c r="J21" s="150"/>
    </row>
    <row r="22" spans="1:10" ht="38.25">
      <c r="C22" s="151" t="s">
        <v>157</v>
      </c>
      <c r="D22" s="151" t="s">
        <v>158</v>
      </c>
      <c r="E22" s="151" t="s">
        <v>159</v>
      </c>
      <c r="F22" s="151" t="s">
        <v>160</v>
      </c>
      <c r="G22" s="151" t="s">
        <v>161</v>
      </c>
      <c r="H22" s="151" t="s">
        <v>162</v>
      </c>
      <c r="I22" s="151" t="s">
        <v>163</v>
      </c>
      <c r="J22" s="151" t="s">
        <v>136</v>
      </c>
    </row>
    <row r="23" spans="1:10" ht="26.1" customHeight="1">
      <c r="B23" s="178" t="s">
        <v>262</v>
      </c>
      <c r="C23" s="153">
        <f>'Compiled Information'!U52</f>
        <v>381.01788082800005</v>
      </c>
      <c r="D23" s="153">
        <f>'Compiled Information'!V52</f>
        <v>28.985297110640268</v>
      </c>
      <c r="E23" s="153">
        <f>'Compiled Information'!W52</f>
        <v>0</v>
      </c>
      <c r="F23" s="153">
        <f>'Compiled Information'!X52</f>
        <v>0</v>
      </c>
      <c r="G23" s="153">
        <f>'Compiled Information'!Y52</f>
        <v>270.39833119999986</v>
      </c>
      <c r="H23" s="153">
        <f>'Compiled Information'!Z52</f>
        <v>66.5</v>
      </c>
      <c r="I23" s="153">
        <f>'Compiled Information'!AB52</f>
        <v>570.55830220550013</v>
      </c>
      <c r="J23" s="153">
        <f>SUM(C23:I23)</f>
        <v>1317.4598113441402</v>
      </c>
    </row>
    <row r="24" spans="1:10" ht="26.1" customHeight="1">
      <c r="B24" s="178" t="s">
        <v>137</v>
      </c>
      <c r="C24" s="153">
        <f>'Compiled Information'!AZ52</f>
        <v>587.96288925805584</v>
      </c>
      <c r="D24" s="153">
        <f>'Compiled Information'!BA52</f>
        <v>53.579541490918793</v>
      </c>
      <c r="E24" s="153">
        <f>'Compiled Information'!BB52</f>
        <v>47.26944308798894</v>
      </c>
      <c r="F24" s="153">
        <f>'Compiled Information'!BC52</f>
        <v>5.2468043318393258</v>
      </c>
      <c r="G24" s="153">
        <f>'Compiled Information'!BD52</f>
        <v>548.76404958001797</v>
      </c>
      <c r="H24" s="153">
        <f>'Compiled Information'!BE52</f>
        <v>74.637083595319453</v>
      </c>
      <c r="I24" s="153" t="s">
        <v>171</v>
      </c>
      <c r="J24" s="153">
        <f>SUM(C24:I24)</f>
        <v>1317.4598113441402</v>
      </c>
    </row>
    <row r="25" spans="1:10" ht="26.1" customHeight="1">
      <c r="B25" s="178" t="s">
        <v>264</v>
      </c>
      <c r="C25" s="153">
        <f>'Compiled Information'!U53</f>
        <v>268.28327040615818</v>
      </c>
      <c r="D25" s="153">
        <f>'Compiled Information'!V53</f>
        <v>396.70350235444823</v>
      </c>
      <c r="E25" s="153">
        <f>'Compiled Information'!W53</f>
        <v>40.948102145573984</v>
      </c>
      <c r="F25" s="153">
        <f>'Compiled Information'!X53</f>
        <v>93.234040312560438</v>
      </c>
      <c r="G25" s="153">
        <f>'Compiled Information'!Y53</f>
        <v>368.82915161669416</v>
      </c>
      <c r="H25" s="153">
        <f>'Compiled Information'!Z53</f>
        <v>162.57915008820947</v>
      </c>
      <c r="I25" s="153" t="s">
        <v>171</v>
      </c>
      <c r="J25" s="153">
        <f>SUM(C25:I25)</f>
        <v>1330.5772169236445</v>
      </c>
    </row>
    <row r="27" spans="1:10">
      <c r="C27" s="144" t="s">
        <v>244</v>
      </c>
      <c r="D27" s="145"/>
      <c r="E27" s="145"/>
      <c r="F27" s="145"/>
      <c r="G27" s="145"/>
      <c r="H27" s="146"/>
    </row>
    <row r="28" spans="1:10">
      <c r="C28" s="147" t="s">
        <v>65</v>
      </c>
      <c r="D28" s="148"/>
      <c r="E28" s="148"/>
      <c r="F28" s="148"/>
      <c r="G28" s="148"/>
      <c r="H28" s="149"/>
    </row>
    <row r="31" spans="1:10">
      <c r="A31" s="143" t="s">
        <v>68</v>
      </c>
    </row>
    <row r="33" spans="1:10">
      <c r="C33" s="156" t="s">
        <v>226</v>
      </c>
      <c r="D33" s="157"/>
      <c r="E33" s="157"/>
      <c r="F33" s="157"/>
      <c r="G33" s="157"/>
      <c r="H33" s="158"/>
    </row>
    <row r="34" spans="1:10">
      <c r="C34" s="159" t="s">
        <v>261</v>
      </c>
      <c r="D34" s="160"/>
      <c r="E34" s="160"/>
      <c r="F34" s="160"/>
      <c r="G34" s="160"/>
      <c r="H34" s="161"/>
    </row>
    <row r="36" spans="1:10">
      <c r="C36" s="150" t="s">
        <v>211</v>
      </c>
      <c r="D36" s="150"/>
      <c r="E36" s="150"/>
      <c r="F36" s="150"/>
    </row>
    <row r="37" spans="1:10" ht="38.25">
      <c r="C37" s="151" t="s">
        <v>69</v>
      </c>
      <c r="D37" s="151" t="s">
        <v>70</v>
      </c>
      <c r="E37" s="151" t="s">
        <v>163</v>
      </c>
      <c r="F37" s="151" t="s">
        <v>136</v>
      </c>
    </row>
    <row r="38" spans="1:10" ht="25.5">
      <c r="B38" s="178" t="s">
        <v>262</v>
      </c>
      <c r="C38" s="153">
        <f>'Compiled Information'!R52</f>
        <v>1430.0338064891528</v>
      </c>
      <c r="D38" s="153">
        <f>'Compiled Information'!S52</f>
        <v>3717.7792074190916</v>
      </c>
      <c r="E38" s="153">
        <f>'Compiled Information'!T52</f>
        <v>662.00540000000001</v>
      </c>
      <c r="F38" s="153">
        <f>SUM(C38:E38)</f>
        <v>5809.8184139082441</v>
      </c>
      <c r="I38" s="173">
        <f>D38/C38</f>
        <v>2.5997841383530202</v>
      </c>
      <c r="J38" s="173">
        <f>C38/(SUM(C38:D38))</f>
        <v>0.27779443476783633</v>
      </c>
    </row>
    <row r="39" spans="1:10" ht="25.5">
      <c r="B39" s="178" t="s">
        <v>137</v>
      </c>
      <c r="C39" s="153">
        <f>'Compiled Information'!AX52</f>
        <v>1827.2370464891528</v>
      </c>
      <c r="D39" s="153">
        <f>'Compiled Information'!AY52</f>
        <v>3982.5813674190917</v>
      </c>
      <c r="E39" s="153" t="s">
        <v>171</v>
      </c>
      <c r="F39" s="153">
        <f>SUM(C39:E39)</f>
        <v>5809.8184139082441</v>
      </c>
      <c r="I39" s="173">
        <f>D39/C39</f>
        <v>2.1795647012910613</v>
      </c>
      <c r="J39" s="173">
        <f>C39/(SUM(C39:D39))</f>
        <v>0.31450846073173172</v>
      </c>
    </row>
    <row r="42" spans="1:10">
      <c r="A42" s="143" t="s">
        <v>71</v>
      </c>
    </row>
    <row r="44" spans="1:10">
      <c r="C44" s="156" t="s">
        <v>140</v>
      </c>
      <c r="D44" s="157"/>
      <c r="E44" s="157"/>
      <c r="F44" s="157"/>
      <c r="G44" s="157"/>
      <c r="H44" s="158"/>
    </row>
    <row r="45" spans="1:10">
      <c r="C45" s="159" t="s">
        <v>141</v>
      </c>
      <c r="D45" s="160"/>
      <c r="E45" s="160"/>
      <c r="F45" s="160"/>
      <c r="G45" s="160"/>
      <c r="H45" s="161"/>
    </row>
    <row r="47" spans="1:10">
      <c r="C47" s="150" t="s">
        <v>211</v>
      </c>
      <c r="D47" s="150"/>
      <c r="E47" s="150"/>
      <c r="F47" s="150"/>
    </row>
    <row r="48" spans="1:10" ht="38.25">
      <c r="C48" s="151" t="s">
        <v>69</v>
      </c>
      <c r="D48" s="151" t="s">
        <v>70</v>
      </c>
      <c r="E48" s="151" t="s">
        <v>163</v>
      </c>
      <c r="F48" s="151" t="s">
        <v>136</v>
      </c>
    </row>
    <row r="49" spans="1:17" ht="25.5">
      <c r="B49" s="178" t="s">
        <v>262</v>
      </c>
      <c r="C49" s="153">
        <f>'Compiled Information'!AC52</f>
        <v>484.73718529898383</v>
      </c>
      <c r="D49" s="153">
        <f>'Compiled Information'!AD52</f>
        <v>699.71722604515662</v>
      </c>
      <c r="E49" s="153">
        <f>'Compiled Information'!AE52</f>
        <v>133.00540000000001</v>
      </c>
      <c r="F49" s="153">
        <f>SUM(C49:E49)</f>
        <v>1317.4598113441405</v>
      </c>
      <c r="I49" s="173">
        <f>D49/C49</f>
        <v>1.4434981413971244</v>
      </c>
      <c r="J49" s="173">
        <f>C49/(SUM(C49:D49))</f>
        <v>0.40924933932146468</v>
      </c>
    </row>
    <row r="50" spans="1:17" ht="25.5">
      <c r="B50" s="178" t="s">
        <v>137</v>
      </c>
      <c r="C50" s="153">
        <f>'Compiled Information'!BG52</f>
        <v>564.54042529898391</v>
      </c>
      <c r="D50" s="153">
        <f>'Compiled Information'!BH52</f>
        <v>752.91938604515667</v>
      </c>
      <c r="E50" s="153" t="s">
        <v>171</v>
      </c>
      <c r="F50" s="153">
        <f>SUM(C50:E50)</f>
        <v>1317.4598113441407</v>
      </c>
      <c r="I50" s="173">
        <f>D50/C50</f>
        <v>1.3336855117973281</v>
      </c>
      <c r="J50" s="173">
        <f>C50/(SUM(C50:D50))</f>
        <v>0.4285067524928981</v>
      </c>
    </row>
    <row r="53" spans="1:17">
      <c r="A53" s="143" t="s">
        <v>219</v>
      </c>
    </row>
    <row r="55" spans="1:17">
      <c r="C55" s="150" t="s">
        <v>60</v>
      </c>
      <c r="D55" s="150"/>
      <c r="E55" s="150"/>
      <c r="F55" s="150"/>
      <c r="G55" s="150"/>
      <c r="H55" s="150"/>
      <c r="I55" s="150"/>
    </row>
    <row r="56" spans="1:17" ht="38.25">
      <c r="C56" s="151" t="s">
        <v>220</v>
      </c>
      <c r="D56" s="151" t="s">
        <v>221</v>
      </c>
      <c r="E56" s="151" t="s">
        <v>222</v>
      </c>
      <c r="F56" s="151" t="s">
        <v>223</v>
      </c>
      <c r="G56" s="151" t="s">
        <v>224</v>
      </c>
      <c r="H56" s="151" t="s">
        <v>28</v>
      </c>
      <c r="I56" s="151" t="s">
        <v>136</v>
      </c>
      <c r="K56" s="164" t="s">
        <v>180</v>
      </c>
    </row>
    <row r="57" spans="1:17" ht="25.5">
      <c r="B57" s="178" t="s">
        <v>138</v>
      </c>
      <c r="C57" s="153">
        <f>SUM('Compiled Information'!AW3:AW8)</f>
        <v>1446.0182749999999</v>
      </c>
      <c r="D57" s="153">
        <f>SUM('Compiled Information'!AW9:AW14)</f>
        <v>0</v>
      </c>
      <c r="E57" s="153">
        <f>SUM('Compiled Information'!AW15)</f>
        <v>0</v>
      </c>
      <c r="F57" s="153">
        <f>SUM('Compiled Information'!AW16:AW35)</f>
        <v>3519.3561601082442</v>
      </c>
      <c r="G57" s="153">
        <f>SUM('Compiled Information'!AW36:AW46)</f>
        <v>801.279</v>
      </c>
      <c r="H57" s="153">
        <f>SUM('Compiled Information'!AW47:AW51)</f>
        <v>43.1649788</v>
      </c>
      <c r="I57" s="153">
        <f t="shared" ref="I57:I62" si="0">SUM(C57:H57)</f>
        <v>5809.818413908245</v>
      </c>
      <c r="K57" s="162" t="s">
        <v>142</v>
      </c>
    </row>
    <row r="58" spans="1:17" ht="25.5">
      <c r="B58" s="178" t="s">
        <v>139</v>
      </c>
      <c r="C58" s="153">
        <f>SUM('Compiled Information'!BF3:BF8)</f>
        <v>499.36967243589748</v>
      </c>
      <c r="D58" s="153">
        <f>SUM('Compiled Information'!BF9:BF14)</f>
        <v>0</v>
      </c>
      <c r="E58" s="153">
        <f>SUM('Compiled Information'!BF15)</f>
        <v>0</v>
      </c>
      <c r="F58" s="153">
        <f>SUM('Compiled Information'!BF16:BF35)</f>
        <v>614.15616010824306</v>
      </c>
      <c r="G58" s="153">
        <f>SUM('Compiled Information'!BF36:BF46)</f>
        <v>160.76900000000001</v>
      </c>
      <c r="H58" s="153">
        <f>SUM('Compiled Information'!BF47:BF51)</f>
        <v>43.1649788</v>
      </c>
      <c r="I58" s="153">
        <f t="shared" si="0"/>
        <v>1317.4598113441405</v>
      </c>
      <c r="K58" s="163" t="s">
        <v>210</v>
      </c>
      <c r="L58" s="152"/>
      <c r="M58" s="152"/>
      <c r="N58" s="152"/>
      <c r="O58" s="152"/>
      <c r="P58" s="152"/>
      <c r="Q58" s="12"/>
    </row>
    <row r="59" spans="1:17" ht="38.25">
      <c r="B59" s="178" t="s">
        <v>216</v>
      </c>
      <c r="C59" s="153">
        <f>SUM('Compiled Information'!AL3:AL8)</f>
        <v>7.1754874999999991</v>
      </c>
      <c r="D59" s="153">
        <f>SUM('Compiled Information'!AL9:AL14)</f>
        <v>49</v>
      </c>
      <c r="E59" s="153">
        <f>SUM('Compiled Information'!AL15)</f>
        <v>0.16352278000000001</v>
      </c>
      <c r="F59" s="153">
        <f>SUM('Compiled Information'!AL16:AL35)</f>
        <v>29.916110360394502</v>
      </c>
      <c r="G59" s="153">
        <f>SUM('Compiled Information'!AL36:AL46)</f>
        <v>2.0154999999999998</v>
      </c>
      <c r="H59" s="153">
        <f>SUM('Compiled Information'!AL47:AL51)</f>
        <v>1.1408309999999999</v>
      </c>
      <c r="I59" s="153">
        <f t="shared" si="0"/>
        <v>89.411451640394517</v>
      </c>
    </row>
    <row r="60" spans="1:17" ht="38.25">
      <c r="B60" s="178" t="s">
        <v>253</v>
      </c>
      <c r="C60" s="153">
        <f>SUM('Compiled Information'!BT3:BT8)</f>
        <v>4.9349182131786549</v>
      </c>
      <c r="D60" s="153">
        <f>SUM('Compiled Information'!BT9:BT14)</f>
        <v>0</v>
      </c>
      <c r="E60" s="153">
        <f>SUM('Compiled Information'!BT15)</f>
        <v>0</v>
      </c>
      <c r="F60" s="153">
        <f>SUM('Compiled Information'!BT16:BT35)</f>
        <v>33.540000000000006</v>
      </c>
      <c r="G60" s="153">
        <f>SUM('Compiled Information'!BT36:BT46)</f>
        <v>2.1</v>
      </c>
      <c r="H60" s="153">
        <f>SUM('Compiled Information'!BT47:BT51)</f>
        <v>0</v>
      </c>
      <c r="I60" s="153">
        <f t="shared" si="0"/>
        <v>40.574918213178663</v>
      </c>
      <c r="K60" s="168"/>
      <c r="L60" s="168"/>
      <c r="M60" s="168"/>
      <c r="N60" s="168"/>
      <c r="O60" s="168"/>
      <c r="P60" s="168"/>
      <c r="Q60" s="168"/>
    </row>
    <row r="61" spans="1:17" ht="38.25">
      <c r="B61" s="178" t="s">
        <v>254</v>
      </c>
      <c r="C61" s="153">
        <f>SUM('Compiled Information'!BS3:BS8)</f>
        <v>2.3605026750856628</v>
      </c>
      <c r="D61" s="153">
        <f>SUM('Compiled Information'!BS9:BS14)</f>
        <v>0</v>
      </c>
      <c r="E61" s="153">
        <f>SUM('Compiled Information'!BS15)</f>
        <v>0</v>
      </c>
      <c r="F61" s="153">
        <f>SUM('Compiled Information'!BS16:BS35)</f>
        <v>41.093400000000003</v>
      </c>
      <c r="G61" s="153">
        <f>SUM('Compiled Information'!BS36:BS46)</f>
        <v>2.2000000000000002</v>
      </c>
      <c r="H61" s="153">
        <f>SUM('Compiled Information'!BS47:BS51)</f>
        <v>0</v>
      </c>
      <c r="I61" s="153">
        <f t="shared" si="0"/>
        <v>45.653902675085668</v>
      </c>
      <c r="K61" s="168"/>
      <c r="L61" s="168"/>
      <c r="M61" s="168"/>
      <c r="N61" s="168"/>
      <c r="O61" s="168"/>
      <c r="P61" s="168"/>
      <c r="Q61" s="168"/>
    </row>
    <row r="62" spans="1:17" ht="38.25">
      <c r="B62" s="178" t="s">
        <v>255</v>
      </c>
      <c r="C62" s="153">
        <f>SUM('Compiled Information'!BR3:BR8)</f>
        <v>2.6816843819999998</v>
      </c>
      <c r="D62" s="153">
        <f>SUM('Compiled Information'!BR9:BR14)</f>
        <v>0</v>
      </c>
      <c r="E62" s="153">
        <f>SUM('Compiled Information'!BR15)</f>
        <v>0</v>
      </c>
      <c r="F62" s="153">
        <f>SUM('Compiled Information'!BR16:BR35)</f>
        <v>35.347000000000001</v>
      </c>
      <c r="G62" s="153">
        <f>SUM('Compiled Information'!BR36:BR46)</f>
        <v>1.9</v>
      </c>
      <c r="H62" s="153">
        <f>SUM('Compiled Information'!BR47:BR51)</f>
        <v>0</v>
      </c>
      <c r="I62" s="153">
        <f t="shared" si="0"/>
        <v>39.928684382</v>
      </c>
      <c r="K62" s="168"/>
      <c r="L62" s="168"/>
      <c r="M62" s="168"/>
      <c r="N62" s="168"/>
      <c r="O62" s="168"/>
      <c r="P62" s="168"/>
      <c r="Q62" s="168"/>
    </row>
    <row r="63" spans="1:17">
      <c r="B63" s="181"/>
      <c r="I63" s="152"/>
    </row>
    <row r="64" spans="1:17">
      <c r="C64" s="39"/>
      <c r="D64" s="39"/>
      <c r="E64" s="39"/>
      <c r="F64" s="39"/>
      <c r="G64" s="39"/>
      <c r="H64" s="39"/>
      <c r="I64" s="39"/>
    </row>
    <row r="65" spans="1:11">
      <c r="A65" s="143" t="s">
        <v>225</v>
      </c>
      <c r="I65" s="152"/>
    </row>
    <row r="66" spans="1:11">
      <c r="I66" s="152"/>
    </row>
    <row r="67" spans="1:11">
      <c r="C67" s="156" t="s">
        <v>214</v>
      </c>
      <c r="D67" s="157"/>
      <c r="E67" s="157"/>
      <c r="F67" s="157"/>
      <c r="G67" s="157"/>
      <c r="H67" s="157"/>
      <c r="I67" s="158"/>
    </row>
    <row r="68" spans="1:11">
      <c r="C68" s="159" t="s">
        <v>215</v>
      </c>
      <c r="D68" s="160"/>
      <c r="E68" s="160"/>
      <c r="F68" s="160"/>
      <c r="G68" s="160"/>
      <c r="H68" s="160"/>
      <c r="I68" s="161"/>
    </row>
    <row r="69" spans="1:11">
      <c r="I69" s="152"/>
    </row>
    <row r="70" spans="1:11" ht="38.25">
      <c r="C70" s="151" t="s">
        <v>213</v>
      </c>
      <c r="D70" s="151" t="s">
        <v>212</v>
      </c>
      <c r="K70" s="167"/>
    </row>
    <row r="71" spans="1:11" ht="38.25">
      <c r="B71" s="178" t="s">
        <v>216</v>
      </c>
      <c r="C71" s="153">
        <f>'Compiled Information'!AL52</f>
        <v>88.679799640394506</v>
      </c>
      <c r="D71" s="153">
        <f>'Compiled Information'!AL52</f>
        <v>88.679799640394506</v>
      </c>
      <c r="K71" s="27"/>
    </row>
    <row r="72" spans="1:11" ht="25.5">
      <c r="B72" s="178" t="s">
        <v>181</v>
      </c>
      <c r="C72" s="153">
        <f>'Compiled Information'!BV52</f>
        <v>26349.196226882807</v>
      </c>
      <c r="D72" s="153">
        <f>'Compiled Information'!BW52</f>
        <v>15111.160244743143</v>
      </c>
      <c r="K72" s="27"/>
    </row>
    <row r="73" spans="1:11" ht="25.5">
      <c r="B73" s="178" t="s">
        <v>182</v>
      </c>
      <c r="C73" s="153">
        <f>'Compiled Information'!BX52/1000000</f>
        <v>2.0667661386673832</v>
      </c>
      <c r="D73" s="153">
        <f>'Compiled Information'!BY52/1000000</f>
        <v>1.1852822393856608</v>
      </c>
      <c r="F73" s="3"/>
    </row>
    <row r="74" spans="1:11" ht="25.5">
      <c r="B74" s="178" t="s">
        <v>251</v>
      </c>
      <c r="C74" s="165">
        <f>D74*D72/C72</f>
        <v>3.3655599539662164</v>
      </c>
      <c r="D74" s="153">
        <f>'Compiled Information'!BZ52</f>
        <v>5.8684970713115394</v>
      </c>
      <c r="F74" s="3"/>
    </row>
    <row r="75" spans="1:11" ht="38.25">
      <c r="B75" s="178" t="s">
        <v>260</v>
      </c>
      <c r="C75" s="165">
        <f>D75*D73/C73</f>
        <v>42.907515263228468</v>
      </c>
      <c r="D75" s="153">
        <f>'Compiled Information'!CA52</f>
        <v>74.817454184041267</v>
      </c>
      <c r="F75" s="3"/>
    </row>
    <row r="76" spans="1:11">
      <c r="F76" s="3"/>
    </row>
    <row r="78" spans="1:11">
      <c r="A78" s="143" t="s">
        <v>252</v>
      </c>
    </row>
    <row r="80" spans="1:11" ht="25.5">
      <c r="C80" s="151" t="s">
        <v>246</v>
      </c>
      <c r="D80" s="151" t="s">
        <v>247</v>
      </c>
      <c r="E80" s="151" t="s">
        <v>136</v>
      </c>
      <c r="F80" s="151" t="s">
        <v>248</v>
      </c>
    </row>
    <row r="81" spans="1:6" ht="38.25">
      <c r="B81" s="178" t="s">
        <v>249</v>
      </c>
      <c r="C81" s="153">
        <f>'OE Programs'!D42</f>
        <v>195.07366279999997</v>
      </c>
      <c r="D81" s="153">
        <f>E81-C81</f>
        <v>1122.3861485441403</v>
      </c>
      <c r="E81" s="153">
        <f>J23</f>
        <v>1317.4598113441402</v>
      </c>
      <c r="F81" s="166">
        <f>C81/E81</f>
        <v>0.14806801780236148</v>
      </c>
    </row>
    <row r="82" spans="1:6" ht="38.25">
      <c r="B82" s="178" t="s">
        <v>216</v>
      </c>
      <c r="C82" s="172">
        <f>'OE Programs'!C42/1000000</f>
        <v>2.4938153399999998</v>
      </c>
      <c r="D82" s="172">
        <f>E82-C82</f>
        <v>86.185984300394509</v>
      </c>
      <c r="E82" s="172">
        <f>C71</f>
        <v>88.679799640394506</v>
      </c>
      <c r="F82" s="166">
        <f>C82/E82</f>
        <v>2.8121571655694663E-2</v>
      </c>
    </row>
    <row r="85" spans="1:6">
      <c r="A85" s="143" t="s">
        <v>42</v>
      </c>
    </row>
    <row r="87" spans="1:6">
      <c r="C87" s="174" t="s">
        <v>45</v>
      </c>
      <c r="D87" s="175"/>
      <c r="E87" s="176"/>
    </row>
    <row r="88" spans="1:6" ht="38.25">
      <c r="C88" s="151" t="s">
        <v>136</v>
      </c>
      <c r="D88" s="151" t="s">
        <v>217</v>
      </c>
      <c r="E88" s="151" t="s">
        <v>218</v>
      </c>
    </row>
    <row r="89" spans="1:6" ht="18" customHeight="1">
      <c r="A89" s="183" t="s">
        <v>60</v>
      </c>
      <c r="B89" s="178" t="s">
        <v>220</v>
      </c>
      <c r="C89" s="153">
        <v>6</v>
      </c>
      <c r="D89" s="153">
        <v>6</v>
      </c>
      <c r="E89" s="153">
        <v>3</v>
      </c>
    </row>
    <row r="90" spans="1:6" ht="18" customHeight="1">
      <c r="A90" s="184"/>
      <c r="B90" s="178" t="s">
        <v>221</v>
      </c>
      <c r="C90" s="153">
        <v>6</v>
      </c>
      <c r="D90" s="153">
        <v>6</v>
      </c>
      <c r="E90" s="153">
        <v>2</v>
      </c>
    </row>
    <row r="91" spans="1:6" ht="18" customHeight="1">
      <c r="A91" s="184"/>
      <c r="B91" s="178" t="s">
        <v>222</v>
      </c>
      <c r="C91" s="153">
        <v>1</v>
      </c>
      <c r="D91" s="153">
        <v>1</v>
      </c>
      <c r="E91" s="153">
        <v>1</v>
      </c>
    </row>
    <row r="92" spans="1:6" ht="18" customHeight="1">
      <c r="A92" s="184"/>
      <c r="B92" s="178" t="s">
        <v>223</v>
      </c>
      <c r="C92" s="153">
        <v>19</v>
      </c>
      <c r="D92" s="153">
        <v>15</v>
      </c>
      <c r="E92" s="153">
        <v>8</v>
      </c>
    </row>
    <row r="93" spans="1:6" ht="18" customHeight="1">
      <c r="A93" s="184"/>
      <c r="B93" s="178" t="s">
        <v>224</v>
      </c>
      <c r="C93" s="153">
        <v>10</v>
      </c>
      <c r="D93" s="153">
        <v>8</v>
      </c>
      <c r="E93" s="153">
        <v>4</v>
      </c>
    </row>
    <row r="94" spans="1:6" ht="18" customHeight="1">
      <c r="A94" s="184"/>
      <c r="B94" s="178" t="s">
        <v>28</v>
      </c>
      <c r="C94" s="153">
        <v>4</v>
      </c>
      <c r="D94" s="153">
        <v>2</v>
      </c>
      <c r="E94" s="153">
        <v>3</v>
      </c>
    </row>
    <row r="95" spans="1:6" ht="18" customHeight="1">
      <c r="A95" s="185"/>
      <c r="B95" s="182" t="s">
        <v>136</v>
      </c>
      <c r="C95" s="153">
        <f>SUM(C89:C94)</f>
        <v>46</v>
      </c>
      <c r="D95" s="153">
        <f>SUM(D89:D94)</f>
        <v>38</v>
      </c>
      <c r="E95" s="153">
        <f>SUM(E89:E94)</f>
        <v>21</v>
      </c>
    </row>
    <row r="98" spans="1:7">
      <c r="A98" s="143" t="s">
        <v>43</v>
      </c>
    </row>
    <row r="100" spans="1:7" ht="63.75">
      <c r="C100" s="151" t="s">
        <v>44</v>
      </c>
      <c r="D100" s="164"/>
      <c r="E100" s="164"/>
      <c r="F100" s="164"/>
      <c r="G100" s="164"/>
    </row>
    <row r="101" spans="1:7" ht="17.100000000000001" customHeight="1">
      <c r="A101" s="183" t="s">
        <v>60</v>
      </c>
      <c r="B101" s="178" t="s">
        <v>220</v>
      </c>
      <c r="C101" s="153">
        <f>C59</f>
        <v>7.1754874999999991</v>
      </c>
    </row>
    <row r="102" spans="1:7" ht="17.100000000000001" customHeight="1">
      <c r="A102" s="184"/>
      <c r="B102" s="178" t="s">
        <v>221</v>
      </c>
      <c r="C102" s="153">
        <f>D59</f>
        <v>49</v>
      </c>
      <c r="D102" s="171"/>
      <c r="E102" s="171"/>
      <c r="F102" s="171"/>
      <c r="G102" s="171"/>
    </row>
    <row r="103" spans="1:7" ht="17.100000000000001" customHeight="1">
      <c r="A103" s="184"/>
      <c r="B103" s="178" t="s">
        <v>222</v>
      </c>
      <c r="C103" s="153">
        <f>E59</f>
        <v>0.16352278000000001</v>
      </c>
      <c r="D103" s="171"/>
      <c r="E103" s="171"/>
      <c r="F103" s="171"/>
      <c r="G103" s="171"/>
    </row>
    <row r="104" spans="1:7" ht="17.100000000000001" customHeight="1">
      <c r="A104" s="184"/>
      <c r="B104" s="178" t="s">
        <v>223</v>
      </c>
      <c r="C104" s="153">
        <f>F59</f>
        <v>29.916110360394502</v>
      </c>
      <c r="D104" s="171"/>
      <c r="E104" s="171"/>
      <c r="F104" s="171"/>
      <c r="G104" s="171"/>
    </row>
    <row r="105" spans="1:7" ht="17.100000000000001" customHeight="1">
      <c r="A105" s="184"/>
      <c r="B105" s="178" t="s">
        <v>224</v>
      </c>
      <c r="C105" s="153">
        <f>G59</f>
        <v>2.0154999999999998</v>
      </c>
      <c r="D105" s="171"/>
      <c r="E105" s="171"/>
      <c r="F105" s="171"/>
      <c r="G105" s="171"/>
    </row>
    <row r="106" spans="1:7" ht="17.100000000000001" customHeight="1">
      <c r="A106" s="184"/>
      <c r="B106" s="178" t="s">
        <v>28</v>
      </c>
      <c r="C106" s="153">
        <f>H59</f>
        <v>1.1408309999999999</v>
      </c>
      <c r="D106" s="171"/>
      <c r="E106" s="171"/>
      <c r="F106" s="171"/>
      <c r="G106" s="171"/>
    </row>
    <row r="107" spans="1:7" ht="17.100000000000001" customHeight="1">
      <c r="A107" s="185"/>
      <c r="B107" s="182" t="s">
        <v>136</v>
      </c>
      <c r="C107" s="153">
        <f>SUM(C101:C106)</f>
        <v>89.411451640394517</v>
      </c>
      <c r="D107" s="171"/>
      <c r="E107" s="171"/>
      <c r="F107" s="171"/>
      <c r="G107" s="171"/>
    </row>
  </sheetData>
  <mergeCells count="2">
    <mergeCell ref="A89:A95"/>
    <mergeCell ref="A101:A107"/>
  </mergeCells>
  <phoneticPr fontId="0" type="noConversion"/>
  <conditionalFormatting sqref="C8:H9 J8:J9">
    <cfRule type="cellIs" dxfId="13" priority="1" stopIfTrue="1" operator="greaterThan">
      <formula>C$10</formula>
    </cfRule>
    <cfRule type="cellIs" dxfId="12" priority="2" stopIfTrue="1" operator="lessThan">
      <formula>C$10</formula>
    </cfRule>
  </conditionalFormatting>
  <conditionalFormatting sqref="C23:H24 J23:J24">
    <cfRule type="cellIs" dxfId="11" priority="3" stopIfTrue="1" operator="greaterThan">
      <formula>C$25</formula>
    </cfRule>
    <cfRule type="cellIs" dxfId="10" priority="4" stopIfTrue="1" operator="lessThan">
      <formula>C$25</formula>
    </cfRule>
  </conditionalFormatting>
  <pageMargins left="0.75" right="0.75" top="1" bottom="1" header="0.5" footer="0.5"/>
  <pageSetup paperSize="0"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CF410"/>
  <sheetViews>
    <sheetView tabSelected="1" workbookViewId="0">
      <pane xSplit="3" ySplit="2" topLeftCell="AT3" activePane="bottomRight" state="frozenSplit"/>
      <selection pane="topRight" activeCell="D1" sqref="D1"/>
      <selection pane="bottomLeft" activeCell="A3" sqref="A3"/>
      <selection pane="bottomRight" activeCell="AT6" sqref="AT6"/>
    </sheetView>
  </sheetViews>
  <sheetFormatPr defaultColWidth="10.85546875" defaultRowHeight="12.75"/>
  <cols>
    <col min="1" max="1" width="45.85546875" style="12" customWidth="1"/>
    <col min="2" max="2" width="15.140625" style="12" customWidth="1"/>
    <col min="3" max="3" width="13.7109375" style="12" bestFit="1" customWidth="1"/>
    <col min="4" max="4" width="10.85546875" style="12" customWidth="1"/>
    <col min="5" max="9" width="11.42578125" style="12" customWidth="1"/>
    <col min="10" max="10" width="10.85546875" style="12" customWidth="1"/>
    <col min="11" max="20" width="11.42578125" style="12" customWidth="1"/>
    <col min="21" max="21" width="10.85546875" style="12" customWidth="1"/>
    <col min="22" max="31" width="11.42578125" style="12" customWidth="1"/>
    <col min="32" max="32" width="10.85546875" style="12" customWidth="1"/>
    <col min="33" max="39" width="11.42578125" style="12" customWidth="1"/>
    <col min="40" max="40" width="11.42578125" style="31" customWidth="1"/>
    <col min="41" max="42" width="12.7109375" style="12" customWidth="1"/>
    <col min="43" max="66" width="10.85546875" style="28" customWidth="1"/>
    <col min="67" max="68" width="15" style="28" customWidth="1"/>
    <col min="69" max="69" width="23.140625" style="28" bestFit="1" customWidth="1"/>
    <col min="70" max="73" width="10.85546875" style="28" customWidth="1"/>
    <col min="74" max="79" width="14.42578125" style="28" customWidth="1"/>
    <col min="80" max="16384" width="10.85546875" style="28"/>
  </cols>
  <sheetData>
    <row r="1" spans="1:84" s="6" customFormat="1" ht="25.5">
      <c r="A1" s="4" t="s">
        <v>164</v>
      </c>
      <c r="B1" s="5" t="s">
        <v>60</v>
      </c>
      <c r="C1" s="5"/>
      <c r="D1" s="7" t="s">
        <v>156</v>
      </c>
      <c r="E1" s="5"/>
      <c r="F1" s="5"/>
      <c r="G1" s="5"/>
      <c r="H1" s="5"/>
      <c r="I1" s="5"/>
      <c r="J1" s="7" t="s">
        <v>52</v>
      </c>
      <c r="K1" s="5"/>
      <c r="L1" s="5"/>
      <c r="M1" s="5"/>
      <c r="N1" s="5"/>
      <c r="O1" s="5"/>
      <c r="P1" s="5"/>
      <c r="Q1" s="5"/>
      <c r="R1" s="5"/>
      <c r="S1" s="5"/>
      <c r="T1" s="5"/>
      <c r="U1" s="7" t="s">
        <v>53</v>
      </c>
      <c r="V1" s="5"/>
      <c r="W1" s="5"/>
      <c r="X1" s="5"/>
      <c r="Y1" s="5"/>
      <c r="Z1" s="5"/>
      <c r="AA1" s="5"/>
      <c r="AB1" s="5"/>
      <c r="AC1" s="5"/>
      <c r="AD1" s="5"/>
      <c r="AE1" s="5"/>
      <c r="AF1" s="7" t="s">
        <v>54</v>
      </c>
      <c r="AG1" s="5"/>
      <c r="AH1" s="5"/>
      <c r="AI1" s="5"/>
      <c r="AJ1" s="5"/>
      <c r="AK1" s="5"/>
      <c r="AL1" s="5"/>
      <c r="AM1" s="13"/>
      <c r="AN1" s="42" t="s">
        <v>127</v>
      </c>
      <c r="AO1" s="7" t="s">
        <v>152</v>
      </c>
      <c r="AP1" s="5"/>
      <c r="AQ1" s="7" t="s">
        <v>32</v>
      </c>
      <c r="AR1" s="5"/>
      <c r="AS1" s="5"/>
      <c r="AT1" s="5"/>
      <c r="AU1" s="5"/>
      <c r="AV1" s="5"/>
      <c r="AW1" s="5"/>
      <c r="AX1" s="5"/>
      <c r="AY1" s="5"/>
      <c r="AZ1" s="7" t="s">
        <v>31</v>
      </c>
      <c r="BA1" s="5"/>
      <c r="BB1" s="5"/>
      <c r="BC1" s="5"/>
      <c r="BD1" s="5"/>
      <c r="BE1" s="5"/>
      <c r="BF1" s="5"/>
      <c r="BG1" s="5"/>
      <c r="BH1" s="5"/>
      <c r="BI1" s="104" t="s">
        <v>175</v>
      </c>
      <c r="BJ1" s="105"/>
      <c r="BK1" s="105"/>
      <c r="BL1" s="105"/>
      <c r="BM1" s="105"/>
      <c r="BN1" s="105"/>
      <c r="BO1" s="105"/>
      <c r="BP1" s="105"/>
      <c r="BQ1" s="105"/>
      <c r="BR1" s="104" t="s">
        <v>176</v>
      </c>
      <c r="BS1" s="55"/>
      <c r="BT1" s="55"/>
      <c r="BU1" s="120"/>
      <c r="BV1" s="77" t="s">
        <v>21</v>
      </c>
      <c r="BW1" s="55"/>
      <c r="BX1" s="55"/>
      <c r="BY1" s="55"/>
      <c r="BZ1" s="121"/>
      <c r="CA1" s="122"/>
    </row>
    <row r="2" spans="1:84" s="6" customFormat="1" ht="63.75">
      <c r="A2" s="4" t="s">
        <v>61</v>
      </c>
      <c r="B2" s="5" t="s">
        <v>61</v>
      </c>
      <c r="C2" s="5" t="s">
        <v>155</v>
      </c>
      <c r="D2" s="7" t="s">
        <v>157</v>
      </c>
      <c r="E2" s="5" t="s">
        <v>158</v>
      </c>
      <c r="F2" s="5" t="s">
        <v>159</v>
      </c>
      <c r="G2" s="5" t="s">
        <v>160</v>
      </c>
      <c r="H2" s="5" t="s">
        <v>161</v>
      </c>
      <c r="I2" s="5" t="s">
        <v>162</v>
      </c>
      <c r="J2" s="7" t="s">
        <v>157</v>
      </c>
      <c r="K2" s="5" t="s">
        <v>158</v>
      </c>
      <c r="L2" s="5" t="s">
        <v>159</v>
      </c>
      <c r="M2" s="5" t="s">
        <v>160</v>
      </c>
      <c r="N2" s="5" t="s">
        <v>161</v>
      </c>
      <c r="O2" s="5" t="s">
        <v>162</v>
      </c>
      <c r="P2" s="5" t="s">
        <v>136</v>
      </c>
      <c r="Q2" s="5" t="s">
        <v>163</v>
      </c>
      <c r="R2" s="5" t="s">
        <v>5</v>
      </c>
      <c r="S2" s="5" t="s">
        <v>6</v>
      </c>
      <c r="T2" s="5" t="s">
        <v>30</v>
      </c>
      <c r="U2" s="7" t="s">
        <v>157</v>
      </c>
      <c r="V2" s="5" t="s">
        <v>158</v>
      </c>
      <c r="W2" s="5" t="s">
        <v>159</v>
      </c>
      <c r="X2" s="5" t="s">
        <v>160</v>
      </c>
      <c r="Y2" s="5" t="s">
        <v>161</v>
      </c>
      <c r="Z2" s="5" t="s">
        <v>162</v>
      </c>
      <c r="AA2" s="5" t="s">
        <v>136</v>
      </c>
      <c r="AB2" s="5" t="s">
        <v>163</v>
      </c>
      <c r="AC2" s="5" t="s">
        <v>5</v>
      </c>
      <c r="AD2" s="5" t="s">
        <v>6</v>
      </c>
      <c r="AE2" s="5" t="s">
        <v>30</v>
      </c>
      <c r="AF2" s="7" t="s">
        <v>157</v>
      </c>
      <c r="AG2" s="5" t="s">
        <v>158</v>
      </c>
      <c r="AH2" s="5" t="s">
        <v>159</v>
      </c>
      <c r="AI2" s="5" t="s">
        <v>160</v>
      </c>
      <c r="AJ2" s="5" t="s">
        <v>161</v>
      </c>
      <c r="AK2" s="5" t="s">
        <v>162</v>
      </c>
      <c r="AL2" s="5" t="s">
        <v>136</v>
      </c>
      <c r="AM2" s="13" t="s">
        <v>163</v>
      </c>
      <c r="AN2" s="42" t="s">
        <v>128</v>
      </c>
      <c r="AO2" s="7" t="s">
        <v>153</v>
      </c>
      <c r="AP2" s="5" t="s">
        <v>154</v>
      </c>
      <c r="AQ2" s="54" t="s">
        <v>157</v>
      </c>
      <c r="AR2" s="55" t="s">
        <v>158</v>
      </c>
      <c r="AS2" s="55" t="s">
        <v>159</v>
      </c>
      <c r="AT2" s="55" t="s">
        <v>160</v>
      </c>
      <c r="AU2" s="55" t="s">
        <v>161</v>
      </c>
      <c r="AV2" s="55" t="s">
        <v>162</v>
      </c>
      <c r="AW2" s="55" t="s">
        <v>136</v>
      </c>
      <c r="AX2" s="5" t="s">
        <v>5</v>
      </c>
      <c r="AY2" s="5" t="s">
        <v>6</v>
      </c>
      <c r="AZ2" s="54" t="s">
        <v>157</v>
      </c>
      <c r="BA2" s="55" t="s">
        <v>158</v>
      </c>
      <c r="BB2" s="55" t="s">
        <v>159</v>
      </c>
      <c r="BC2" s="55" t="s">
        <v>160</v>
      </c>
      <c r="BD2" s="55" t="s">
        <v>161</v>
      </c>
      <c r="BE2" s="55" t="s">
        <v>162</v>
      </c>
      <c r="BF2" s="55" t="s">
        <v>136</v>
      </c>
      <c r="BG2" s="5" t="s">
        <v>5</v>
      </c>
      <c r="BH2" s="5" t="s">
        <v>6</v>
      </c>
      <c r="BI2" s="54" t="s">
        <v>157</v>
      </c>
      <c r="BJ2" s="55" t="s">
        <v>158</v>
      </c>
      <c r="BK2" s="55" t="s">
        <v>159</v>
      </c>
      <c r="BL2" s="55" t="s">
        <v>160</v>
      </c>
      <c r="BM2" s="55" t="s">
        <v>161</v>
      </c>
      <c r="BN2" s="55" t="s">
        <v>162</v>
      </c>
      <c r="BO2" s="106" t="s">
        <v>173</v>
      </c>
      <c r="BP2" s="106" t="s">
        <v>174</v>
      </c>
      <c r="BQ2" s="106" t="s">
        <v>86</v>
      </c>
      <c r="BR2" s="54" t="s">
        <v>80</v>
      </c>
      <c r="BS2" s="55" t="s">
        <v>81</v>
      </c>
      <c r="BT2" s="55" t="s">
        <v>82</v>
      </c>
      <c r="BU2" s="120" t="s">
        <v>83</v>
      </c>
      <c r="BV2" s="77" t="s">
        <v>25</v>
      </c>
      <c r="BW2" s="77" t="s">
        <v>79</v>
      </c>
      <c r="BX2" s="77" t="s">
        <v>22</v>
      </c>
      <c r="BY2" s="77" t="s">
        <v>23</v>
      </c>
      <c r="BZ2" s="77" t="s">
        <v>250</v>
      </c>
      <c r="CA2" s="120" t="s">
        <v>24</v>
      </c>
      <c r="CB2" s="110"/>
      <c r="CC2" s="110"/>
      <c r="CD2" s="110"/>
      <c r="CE2" s="110"/>
      <c r="CF2" s="110"/>
    </row>
    <row r="3" spans="1:84" s="27" customFormat="1">
      <c r="A3" s="3" t="s">
        <v>124</v>
      </c>
      <c r="B3" t="s">
        <v>178</v>
      </c>
      <c r="C3" t="s">
        <v>55</v>
      </c>
      <c r="D3" s="9"/>
      <c r="E3" s="1" t="s">
        <v>122</v>
      </c>
      <c r="F3" s="2"/>
      <c r="G3" s="2"/>
      <c r="H3" s="1"/>
      <c r="I3" s="1"/>
      <c r="J3" s="18"/>
      <c r="K3" s="11">
        <v>0.95</v>
      </c>
      <c r="L3" s="11"/>
      <c r="M3" s="11"/>
      <c r="N3" s="11"/>
      <c r="O3" s="11"/>
      <c r="P3" s="11">
        <f>SUM(J3:O3,Q3)</f>
        <v>0.95</v>
      </c>
      <c r="Q3"/>
      <c r="R3" s="49">
        <v>0.8</v>
      </c>
      <c r="S3" s="49">
        <v>0.2</v>
      </c>
      <c r="T3" s="33">
        <f>1-R3-S3</f>
        <v>0</v>
      </c>
      <c r="U3" s="16"/>
      <c r="V3" s="16">
        <f>15*25/1000</f>
        <v>0.375</v>
      </c>
      <c r="W3" s="16"/>
      <c r="X3" s="16"/>
      <c r="Y3" s="16"/>
      <c r="Z3" s="16"/>
      <c r="AA3" s="11">
        <f>SUM(U3:Z3,AB3)</f>
        <v>0.375</v>
      </c>
      <c r="AB3"/>
      <c r="AC3" s="49">
        <v>0.8</v>
      </c>
      <c r="AD3" s="49">
        <v>0.2</v>
      </c>
      <c r="AE3" s="33">
        <f>1-AC3-AD3</f>
        <v>0</v>
      </c>
      <c r="AF3" s="8"/>
      <c r="AG3" s="10">
        <f>(50000+0)/1000000*V3/(V3+V4)</f>
        <v>2.6375112714156899E-2</v>
      </c>
      <c r="AH3"/>
      <c r="AI3"/>
      <c r="AJ3"/>
      <c r="AK3"/>
      <c r="AL3" s="11">
        <f>SUM(AF3:AK3,AM3)</f>
        <v>2.6375112714156899E-2</v>
      </c>
      <c r="AM3" s="12"/>
      <c r="AN3" s="43"/>
      <c r="AO3" s="9" t="str">
        <f>IF(Q3+AB3&gt;0,"Yes", "No")</f>
        <v>No</v>
      </c>
      <c r="AP3" s="48" t="str">
        <f>IF(T3+AE3&gt;0,"Yes", "No")</f>
        <v>No</v>
      </c>
      <c r="AQ3" s="51">
        <f t="shared" ref="AQ3:AV5" si="0">J3+BI3*$BO3</f>
        <v>0</v>
      </c>
      <c r="AR3" s="52">
        <f t="shared" si="0"/>
        <v>0.95</v>
      </c>
      <c r="AS3" s="52">
        <f t="shared" si="0"/>
        <v>0</v>
      </c>
      <c r="AT3" s="52">
        <f t="shared" si="0"/>
        <v>0</v>
      </c>
      <c r="AU3" s="52">
        <f t="shared" si="0"/>
        <v>0</v>
      </c>
      <c r="AV3" s="52">
        <f t="shared" si="0"/>
        <v>0</v>
      </c>
      <c r="AW3" s="52">
        <f>SUM(AQ3:AV3)</f>
        <v>0.95</v>
      </c>
      <c r="AX3" s="49">
        <f>R3+$T3*150/250</f>
        <v>0.8</v>
      </c>
      <c r="AY3" s="53">
        <f>S3+$T3*100/250</f>
        <v>0.2</v>
      </c>
      <c r="AZ3" s="51">
        <f t="shared" ref="AZ3:BE5" si="1">U3+BI3*$BP3</f>
        <v>0</v>
      </c>
      <c r="BA3" s="52">
        <f t="shared" si="1"/>
        <v>0.375</v>
      </c>
      <c r="BB3" s="52">
        <f t="shared" si="1"/>
        <v>0</v>
      </c>
      <c r="BC3" s="52">
        <f t="shared" si="1"/>
        <v>0</v>
      </c>
      <c r="BD3" s="52">
        <f t="shared" si="1"/>
        <v>0</v>
      </c>
      <c r="BE3" s="52">
        <f t="shared" si="1"/>
        <v>0</v>
      </c>
      <c r="BF3" s="52">
        <f>SUM(AZ3:BE3)</f>
        <v>0.375</v>
      </c>
      <c r="BG3" s="49">
        <f>AC3+$AE3*150/250</f>
        <v>0.8</v>
      </c>
      <c r="BH3" s="49">
        <f>AD3+$AE3*100/250</f>
        <v>0.2</v>
      </c>
      <c r="BI3" s="169"/>
      <c r="BJ3" s="170">
        <v>1</v>
      </c>
      <c r="BK3" s="101"/>
      <c r="BL3" s="101"/>
      <c r="BM3" s="101"/>
      <c r="BN3" s="101"/>
      <c r="BO3" s="41">
        <f>Q3</f>
        <v>0</v>
      </c>
      <c r="BP3" s="41">
        <f>AB3</f>
        <v>0</v>
      </c>
      <c r="BQ3" s="40" t="s">
        <v>41</v>
      </c>
      <c r="BR3" s="56"/>
      <c r="BS3" s="17">
        <f>6/15*BU3</f>
        <v>1.0550045085662761E-2</v>
      </c>
      <c r="BT3" s="17">
        <f>17/15*BU3</f>
        <v>2.9891794409377819E-2</v>
      </c>
      <c r="BU3" s="41">
        <f>AG3</f>
        <v>2.6375112714156899E-2</v>
      </c>
      <c r="BV3" s="123">
        <f>AA3*lifespan</f>
        <v>7.5</v>
      </c>
      <c r="BW3" s="113">
        <f>-PV(discount_rate,lifespan,AA3)</f>
        <v>4.3012204569619739</v>
      </c>
      <c r="BX3" s="113">
        <f>BV3*(BG3*GHG_gas+BH3*GHG_electricity)</f>
        <v>448.08</v>
      </c>
      <c r="BY3" s="113">
        <f>BW3*(BG3*GHG_gas+BH3*GHG_electricity)</f>
        <v>256.97211498073614</v>
      </c>
      <c r="BZ3" s="124">
        <f>AL3/BW3*1000</f>
        <v>6.1320067125287725</v>
      </c>
      <c r="CA3" s="125">
        <f>AL3*1000000/BY3</f>
        <v>102.63803415453891</v>
      </c>
    </row>
    <row r="4" spans="1:84" s="27" customFormat="1">
      <c r="A4" s="3" t="s">
        <v>125</v>
      </c>
      <c r="B4" t="s">
        <v>178</v>
      </c>
      <c r="C4" t="s">
        <v>55</v>
      </c>
      <c r="D4" s="9"/>
      <c r="E4" s="1" t="s">
        <v>122</v>
      </c>
      <c r="F4" s="2"/>
      <c r="G4" s="2"/>
      <c r="H4" s="1"/>
      <c r="I4" s="1"/>
      <c r="J4" s="18"/>
      <c r="K4" s="11">
        <v>0.52400000000000002</v>
      </c>
      <c r="L4" s="11"/>
      <c r="M4" s="11"/>
      <c r="N4" s="11"/>
      <c r="O4" s="11"/>
      <c r="P4" s="11">
        <f>SUM(J4:O4,Q4)</f>
        <v>0.52400000000000002</v>
      </c>
      <c r="Q4"/>
      <c r="R4" s="49">
        <v>0.8</v>
      </c>
      <c r="S4" s="49">
        <v>0.2</v>
      </c>
      <c r="T4" s="33">
        <f>1-R4-S4</f>
        <v>0</v>
      </c>
      <c r="U4" s="16"/>
      <c r="V4" s="16">
        <f>K4*25/39</f>
        <v>0.33589743589743593</v>
      </c>
      <c r="W4" s="16"/>
      <c r="X4" s="16"/>
      <c r="Y4" s="16"/>
      <c r="Z4" s="16"/>
      <c r="AA4" s="11">
        <f>SUM(U4:Z4,AB4)</f>
        <v>0.33589743589743593</v>
      </c>
      <c r="AB4"/>
      <c r="AC4" s="49">
        <v>0.8</v>
      </c>
      <c r="AD4" s="49">
        <v>0.2</v>
      </c>
      <c r="AE4" s="33">
        <f>1-AC4-AD4</f>
        <v>0</v>
      </c>
      <c r="AF4" s="8"/>
      <c r="AG4" s="10">
        <f>(50000+0)/1000000*V4/(V3+V4)</f>
        <v>2.3624887285843103E-2</v>
      </c>
      <c r="AH4"/>
      <c r="AI4"/>
      <c r="AJ4"/>
      <c r="AK4"/>
      <c r="AL4" s="11">
        <f>SUM(AF4:AK4,AM4)</f>
        <v>2.3624887285843103E-2</v>
      </c>
      <c r="AM4" s="12"/>
      <c r="AN4" s="71" t="s">
        <v>47</v>
      </c>
      <c r="AO4" s="9" t="str">
        <f>IF(Q4+AB4&gt;0,"Yes", "No")</f>
        <v>No</v>
      </c>
      <c r="AP4" s="48" t="str">
        <f>IF(T4+AE4&gt;0,"Yes", "No")</f>
        <v>No</v>
      </c>
      <c r="AQ4" s="51">
        <f t="shared" si="0"/>
        <v>0</v>
      </c>
      <c r="AR4" s="52">
        <f t="shared" si="0"/>
        <v>0.52400000000000002</v>
      </c>
      <c r="AS4" s="52">
        <f t="shared" si="0"/>
        <v>0</v>
      </c>
      <c r="AT4" s="52">
        <f t="shared" si="0"/>
        <v>0</v>
      </c>
      <c r="AU4" s="52">
        <f t="shared" si="0"/>
        <v>0</v>
      </c>
      <c r="AV4" s="52">
        <f t="shared" si="0"/>
        <v>0</v>
      </c>
      <c r="AW4" s="52">
        <f>SUM(AQ4:AV4)</f>
        <v>0.52400000000000002</v>
      </c>
      <c r="AX4" s="49">
        <f>R4+$T4*150/250</f>
        <v>0.8</v>
      </c>
      <c r="AY4" s="53">
        <f>S4+$T4*100/250</f>
        <v>0.2</v>
      </c>
      <c r="AZ4" s="51">
        <f t="shared" si="1"/>
        <v>0</v>
      </c>
      <c r="BA4" s="52">
        <f t="shared" si="1"/>
        <v>0.33589743589743593</v>
      </c>
      <c r="BB4" s="52">
        <f t="shared" si="1"/>
        <v>0</v>
      </c>
      <c r="BC4" s="52">
        <f t="shared" si="1"/>
        <v>0</v>
      </c>
      <c r="BD4" s="52">
        <f t="shared" si="1"/>
        <v>0</v>
      </c>
      <c r="BE4" s="52">
        <f t="shared" si="1"/>
        <v>0</v>
      </c>
      <c r="BF4" s="52">
        <f>SUM(AZ4:BE4)</f>
        <v>0.33589743589743593</v>
      </c>
      <c r="BG4" s="49">
        <f>AC4+$AE4*150/250</f>
        <v>0.8</v>
      </c>
      <c r="BH4" s="49">
        <f>AD4+$AE4*100/250</f>
        <v>0.2</v>
      </c>
      <c r="BI4" s="100"/>
      <c r="BJ4" s="102">
        <v>1</v>
      </c>
      <c r="BK4" s="102"/>
      <c r="BL4" s="102"/>
      <c r="BM4" s="102"/>
      <c r="BN4" s="102"/>
      <c r="BO4" s="41">
        <f>Q4</f>
        <v>0</v>
      </c>
      <c r="BP4" s="41">
        <f>AB4</f>
        <v>0</v>
      </c>
      <c r="BQ4" s="40" t="s">
        <v>41</v>
      </c>
      <c r="BR4" s="56">
        <v>0</v>
      </c>
      <c r="BS4" s="3">
        <v>0</v>
      </c>
      <c r="BT4" s="17">
        <f>BU4*14/39</f>
        <v>8.4807287692770118E-3</v>
      </c>
      <c r="BU4" s="41">
        <f>AG4</f>
        <v>2.3624887285843103E-2</v>
      </c>
      <c r="BV4" s="123">
        <f t="shared" ref="BV4:BV51" si="2">AA4*lifespan</f>
        <v>6.717948717948719</v>
      </c>
      <c r="BW4" s="113">
        <f t="shared" ref="BW4:BW51" si="3">-PV(discount_rate,lifespan,AA4)</f>
        <v>3.8527171272616654</v>
      </c>
      <c r="BX4" s="113">
        <f t="shared" ref="BX4:BX51" si="4">BV4*(BG4*GHG_gas+BH4*GHG_electricity)</f>
        <v>401.35712820512828</v>
      </c>
      <c r="BY4" s="113">
        <f t="shared" ref="BY4:BY51" si="5">BW4*(BG4*GHG_gas+BH4*GHG_electricity)</f>
        <v>230.17673205112092</v>
      </c>
      <c r="BZ4" s="124">
        <f t="shared" ref="BZ4:BZ51" si="6">AL4/BW4*1000</f>
        <v>6.1320067125287725</v>
      </c>
      <c r="CA4" s="125">
        <f t="shared" ref="CA4:CA52" si="7">AL4*1000000/BY4</f>
        <v>102.63803415453891</v>
      </c>
    </row>
    <row r="5" spans="1:84" s="27" customFormat="1">
      <c r="A5" s="3" t="s">
        <v>134</v>
      </c>
      <c r="B5" t="s">
        <v>117</v>
      </c>
      <c r="C5" t="s">
        <v>55</v>
      </c>
      <c r="D5" s="9" t="s">
        <v>122</v>
      </c>
      <c r="E5" s="1"/>
      <c r="F5" s="2"/>
      <c r="G5" s="2"/>
      <c r="H5" s="1"/>
      <c r="I5" s="1"/>
      <c r="J5" s="18">
        <f>8666*66.4/1000</f>
        <v>575.42240000000004</v>
      </c>
      <c r="K5" s="11"/>
      <c r="L5" s="11"/>
      <c r="M5" s="11"/>
      <c r="N5" s="11"/>
      <c r="O5" s="11"/>
      <c r="P5" s="11">
        <f>SUM(J5:O5,Q5)</f>
        <v>575.42240000000004</v>
      </c>
      <c r="Q5"/>
      <c r="R5" s="49">
        <v>0.8</v>
      </c>
      <c r="S5" s="49">
        <v>0.2</v>
      </c>
      <c r="T5" s="33">
        <f>1-R5-S5</f>
        <v>0</v>
      </c>
      <c r="U5" s="16">
        <f>4971*66.4/1000</f>
        <v>330.07440000000003</v>
      </c>
      <c r="V5" s="16"/>
      <c r="W5" s="16"/>
      <c r="X5" s="16"/>
      <c r="Y5" s="16"/>
      <c r="Z5" s="16"/>
      <c r="AA5" s="11">
        <f>SUM(U5:Z5,AB5)</f>
        <v>330.07440000000003</v>
      </c>
      <c r="AB5"/>
      <c r="AC5" s="49">
        <v>0.8</v>
      </c>
      <c r="AD5" s="49">
        <v>0.2</v>
      </c>
      <c r="AE5" s="33">
        <f>1-AC5-AD5</f>
        <v>0</v>
      </c>
      <c r="AF5" s="8">
        <v>5.75</v>
      </c>
      <c r="AG5"/>
      <c r="AH5"/>
      <c r="AI5"/>
      <c r="AJ5"/>
      <c r="AK5"/>
      <c r="AL5" s="11">
        <f>SUM(AF5:AK5,AM5)</f>
        <v>5.75</v>
      </c>
      <c r="AM5" s="12"/>
      <c r="AN5" s="43"/>
      <c r="AO5" s="9" t="str">
        <f>IF(Q5+AB5&gt;0,"Yes", "No")</f>
        <v>No</v>
      </c>
      <c r="AP5" s="48" t="str">
        <f>IF(T5+AE5&gt;0,"Yes", "No")</f>
        <v>No</v>
      </c>
      <c r="AQ5" s="51">
        <f t="shared" si="0"/>
        <v>575.42240000000004</v>
      </c>
      <c r="AR5" s="52">
        <f t="shared" si="0"/>
        <v>0</v>
      </c>
      <c r="AS5" s="52">
        <f t="shared" si="0"/>
        <v>0</v>
      </c>
      <c r="AT5" s="52">
        <f t="shared" si="0"/>
        <v>0</v>
      </c>
      <c r="AU5" s="52">
        <f t="shared" si="0"/>
        <v>0</v>
      </c>
      <c r="AV5" s="52">
        <f t="shared" si="0"/>
        <v>0</v>
      </c>
      <c r="AW5" s="52">
        <f>SUM(AQ5:AV5)</f>
        <v>575.42240000000004</v>
      </c>
      <c r="AX5" s="49">
        <f>R5+$T5*150/250</f>
        <v>0.8</v>
      </c>
      <c r="AY5" s="53">
        <f>S5+$T5*100/250</f>
        <v>0.2</v>
      </c>
      <c r="AZ5" s="51">
        <f t="shared" si="1"/>
        <v>330.07440000000003</v>
      </c>
      <c r="BA5" s="52">
        <f t="shared" si="1"/>
        <v>0</v>
      </c>
      <c r="BB5" s="52">
        <f t="shared" si="1"/>
        <v>0</v>
      </c>
      <c r="BC5" s="52">
        <f t="shared" si="1"/>
        <v>0</v>
      </c>
      <c r="BD5" s="52">
        <f t="shared" si="1"/>
        <v>0</v>
      </c>
      <c r="BE5" s="52">
        <f t="shared" si="1"/>
        <v>0</v>
      </c>
      <c r="BF5" s="52">
        <f>SUM(AZ5:BE5)</f>
        <v>330.07440000000003</v>
      </c>
      <c r="BG5" s="49">
        <f>AC5+$AE5*150/250</f>
        <v>0.8</v>
      </c>
      <c r="BH5" s="49">
        <f>AD5+$AE5*100/250</f>
        <v>0.2</v>
      </c>
      <c r="BI5" s="100"/>
      <c r="BJ5" s="102"/>
      <c r="BK5" s="102"/>
      <c r="BL5" s="102"/>
      <c r="BM5" s="102"/>
      <c r="BN5" s="102"/>
      <c r="BO5" s="41">
        <f>Q5</f>
        <v>0</v>
      </c>
      <c r="BP5" s="41">
        <f>AB5</f>
        <v>0</v>
      </c>
      <c r="BQ5" s="3"/>
      <c r="BR5" s="64">
        <v>0.91330212</v>
      </c>
      <c r="BS5" s="17">
        <v>1.3834415</v>
      </c>
      <c r="BT5" s="17">
        <v>3.1510488300000001</v>
      </c>
      <c r="BU5" s="41">
        <v>5.7532276099999997</v>
      </c>
      <c r="BV5" s="123">
        <f t="shared" si="2"/>
        <v>6601.4880000000003</v>
      </c>
      <c r="BW5" s="113">
        <f t="shared" si="3"/>
        <v>3785.9273642651979</v>
      </c>
      <c r="BX5" s="113">
        <f t="shared" si="4"/>
        <v>394399.29907200002</v>
      </c>
      <c r="BY5" s="113">
        <f t="shared" si="5"/>
        <v>226186.44445065997</v>
      </c>
      <c r="BZ5" s="124">
        <f t="shared" si="6"/>
        <v>1.5187824400101781</v>
      </c>
      <c r="CA5" s="125">
        <f t="shared" si="7"/>
        <v>25.42150575807074</v>
      </c>
    </row>
    <row r="6" spans="1:84" s="27" customFormat="1">
      <c r="A6" s="3" t="s">
        <v>126</v>
      </c>
      <c r="B6" t="s">
        <v>117</v>
      </c>
      <c r="C6" t="s">
        <v>55</v>
      </c>
      <c r="D6" s="9"/>
      <c r="E6" s="1"/>
      <c r="F6" s="1"/>
      <c r="G6" s="2" t="s">
        <v>122</v>
      </c>
      <c r="H6" s="1"/>
      <c r="I6" s="1" t="s">
        <v>122</v>
      </c>
      <c r="J6" s="18"/>
      <c r="K6" s="11"/>
      <c r="L6" s="11"/>
      <c r="M6" s="11">
        <v>17.399999999999999</v>
      </c>
      <c r="N6" s="11"/>
      <c r="O6" s="11">
        <v>216.3</v>
      </c>
      <c r="P6" s="11">
        <f t="shared" ref="P6:P34" si="8">SUM(J6:O6,Q6)</f>
        <v>233.70000000000002</v>
      </c>
      <c r="Q6"/>
      <c r="R6" s="49">
        <f>('[4]EnergySavings by Fuel'!$I$32+'[4]EnergySavings by Fuel'!$I$38)/('[4]EnergySavings by Fuel'!$I$32+'[4]EnergySavings by Fuel'!$I$33+'[4]EnergySavings by Fuel'!$I$38+'[4]EnergySavings by Fuel'!$I$39)</f>
        <v>0.67010925446791803</v>
      </c>
      <c r="S6" s="49">
        <f>1-R6</f>
        <v>0.32989074553208197</v>
      </c>
      <c r="T6" s="33">
        <f t="shared" ref="T6:T34" si="9">1-R6-S6</f>
        <v>0</v>
      </c>
      <c r="U6" s="16"/>
      <c r="V6" s="16"/>
      <c r="W6" s="16"/>
      <c r="X6" s="16">
        <v>0</v>
      </c>
      <c r="Y6" s="16"/>
      <c r="Z6" s="16">
        <v>66.5</v>
      </c>
      <c r="AA6" s="11">
        <f t="shared" ref="AA6:AA34" si="10">SUM(U6:Z6,AB6)</f>
        <v>66.5</v>
      </c>
      <c r="AB6"/>
      <c r="AC6" s="49">
        <f>('[4]EnergySavings by Fuel'!$H$32+'[4]EnergySavings by Fuel'!$H$38)/('[4]EnergySavings by Fuel'!$H$32+'[4]EnergySavings by Fuel'!$H$33+'[4]EnergySavings by Fuel'!$H$38+'[4]EnergySavings by Fuel'!$H$39)</f>
        <v>0.79113599444008875</v>
      </c>
      <c r="AD6" s="49">
        <f>1-AC6</f>
        <v>0.20886400555991125</v>
      </c>
      <c r="AE6" s="33">
        <f t="shared" ref="AE6:AE34" si="11">1-AC6-AD6</f>
        <v>0</v>
      </c>
      <c r="AF6" s="8"/>
      <c r="AG6"/>
      <c r="AH6"/>
      <c r="AI6">
        <v>0</v>
      </c>
      <c r="AJ6"/>
      <c r="AK6">
        <v>0.6</v>
      </c>
      <c r="AL6" s="11">
        <f t="shared" ref="AL6:AL34" si="12">SUM(AF6:AK6,AM6)</f>
        <v>0.6</v>
      </c>
      <c r="AM6" s="12"/>
      <c r="AN6" s="43"/>
      <c r="AO6" s="9" t="str">
        <f t="shared" ref="AO6:AO34" si="13">IF(Q6+AB6&gt;0,"Yes", "No")</f>
        <v>No</v>
      </c>
      <c r="AP6" s="48" t="str">
        <f t="shared" ref="AP6:AP34" si="14">IF(T6+AE6&gt;0,"Yes", "No")</f>
        <v>No</v>
      </c>
      <c r="AQ6" s="51">
        <f t="shared" ref="AQ6:AQ50" si="15">J6+BI6*$BO6</f>
        <v>0</v>
      </c>
      <c r="AR6" s="52">
        <f t="shared" ref="AR6:AR50" si="16">K6+BJ6*$BO6</f>
        <v>0</v>
      </c>
      <c r="AS6" s="52">
        <f t="shared" ref="AS6:AS50" si="17">L6+BK6*$BO6</f>
        <v>0</v>
      </c>
      <c r="AT6" s="52">
        <f t="shared" ref="AT6:AT50" si="18">M6+BL6*$BO6</f>
        <v>17.399999999999999</v>
      </c>
      <c r="AU6" s="52">
        <f t="shared" ref="AU6:AU50" si="19">N6+BM6*$BO6</f>
        <v>0</v>
      </c>
      <c r="AV6" s="52">
        <f t="shared" ref="AV6:AV50" si="20">O6+BN6*$BO6</f>
        <v>216.3</v>
      </c>
      <c r="AW6" s="52">
        <f t="shared" ref="AW6:AW51" si="21">SUM(AQ6:AV6)</f>
        <v>233.70000000000002</v>
      </c>
      <c r="AX6" s="49">
        <f t="shared" ref="AX6:AX51" si="22">R6+$T6*150/250</f>
        <v>0.67010925446791803</v>
      </c>
      <c r="AY6" s="53">
        <f t="shared" ref="AY6:AY51" si="23">S6+$T6*100/250</f>
        <v>0.32989074553208197</v>
      </c>
      <c r="AZ6" s="51">
        <f t="shared" ref="AZ6:AZ50" si="24">U6+BI6*$BP6</f>
        <v>0</v>
      </c>
      <c r="BA6" s="52">
        <f t="shared" ref="BA6:BA50" si="25">V6+BJ6*$BP6</f>
        <v>0</v>
      </c>
      <c r="BB6" s="52">
        <f t="shared" ref="BB6:BB50" si="26">W6+BK6*$BP6</f>
        <v>0</v>
      </c>
      <c r="BC6" s="52">
        <f t="shared" ref="BC6:BC50" si="27">X6+BL6*$BP6</f>
        <v>0</v>
      </c>
      <c r="BD6" s="52">
        <f t="shared" ref="BD6:BD50" si="28">Y6+BM6*$BP6</f>
        <v>0</v>
      </c>
      <c r="BE6" s="52">
        <f t="shared" ref="BE6:BE50" si="29">Z6+BN6*$BP6</f>
        <v>66.5</v>
      </c>
      <c r="BF6" s="52">
        <f t="shared" ref="BF6:BF51" si="30">SUM(AZ6:BE6)</f>
        <v>66.5</v>
      </c>
      <c r="BG6" s="49">
        <f t="shared" ref="BG6:BG51" si="31">AC6+$AE6*150/250</f>
        <v>0.79113599444008875</v>
      </c>
      <c r="BH6" s="49">
        <f t="shared" ref="BH6:BH51" si="32">AD6+$AE6*100/250</f>
        <v>0.20886400555991125</v>
      </c>
      <c r="BI6" s="100"/>
      <c r="BJ6" s="102"/>
      <c r="BK6" s="102"/>
      <c r="BL6" s="102"/>
      <c r="BM6" s="102"/>
      <c r="BN6" s="102"/>
      <c r="BO6" s="41">
        <f t="shared" ref="BO6:BO15" si="33">Q6</f>
        <v>0</v>
      </c>
      <c r="BP6" s="41">
        <f t="shared" ref="BP6:BP15" si="34">AB6</f>
        <v>0</v>
      </c>
      <c r="BQ6" s="3"/>
      <c r="BR6" s="64">
        <f>[4]PivotAnalysis!P33/1000000</f>
        <v>0.80468490200000009</v>
      </c>
      <c r="BS6" s="17">
        <f>[4]PivotAnalysis!Q33/1000000</f>
        <v>0.34624914000000001</v>
      </c>
      <c r="BT6" s="17">
        <f>[4]PivotAnalysis!R33/1000000</f>
        <v>0.29569335999999996</v>
      </c>
      <c r="BU6" s="41">
        <f>[4]PivotAnalysis!S33/1000000</f>
        <v>0.39885994000000002</v>
      </c>
      <c r="BV6" s="123">
        <f t="shared" si="2"/>
        <v>1330</v>
      </c>
      <c r="BW6" s="113">
        <f t="shared" si="3"/>
        <v>762.74976103458994</v>
      </c>
      <c r="BX6" s="113">
        <f t="shared" si="4"/>
        <v>80052.748890500399</v>
      </c>
      <c r="BY6" s="113">
        <f t="shared" si="5"/>
        <v>45909.936155181364</v>
      </c>
      <c r="BZ6" s="124">
        <f t="shared" si="6"/>
        <v>0.78662758174602765</v>
      </c>
      <c r="CA6" s="125">
        <f t="shared" si="7"/>
        <v>13.069066312179666</v>
      </c>
    </row>
    <row r="7" spans="1:84" s="27" customFormat="1">
      <c r="A7" s="3" t="s">
        <v>172</v>
      </c>
      <c r="B7" t="s">
        <v>117</v>
      </c>
      <c r="C7" t="s">
        <v>55</v>
      </c>
      <c r="D7" s="9"/>
      <c r="E7" s="1"/>
      <c r="F7" s="2" t="s">
        <v>122</v>
      </c>
      <c r="G7" s="1"/>
      <c r="H7" s="1" t="s">
        <v>122</v>
      </c>
      <c r="I7" s="1"/>
      <c r="J7" s="18"/>
      <c r="K7" s="11"/>
      <c r="L7" s="11"/>
      <c r="M7" s="11"/>
      <c r="N7" s="11"/>
      <c r="O7" s="11"/>
      <c r="P7" s="11">
        <f t="shared" si="8"/>
        <v>630</v>
      </c>
      <c r="Q7" s="3">
        <v>630</v>
      </c>
      <c r="R7" s="49">
        <v>0</v>
      </c>
      <c r="S7" s="49">
        <v>0</v>
      </c>
      <c r="T7" s="33">
        <f t="shared" si="9"/>
        <v>1</v>
      </c>
      <c r="U7" s="16"/>
      <c r="V7" s="16"/>
      <c r="W7" s="16"/>
      <c r="X7" s="16"/>
      <c r="Y7" s="16"/>
      <c r="Z7" s="16"/>
      <c r="AA7" s="11">
        <f t="shared" si="10"/>
        <v>101</v>
      </c>
      <c r="AB7">
        <v>101</v>
      </c>
      <c r="AC7" s="49">
        <v>0</v>
      </c>
      <c r="AD7" s="49">
        <v>0</v>
      </c>
      <c r="AE7" s="33">
        <f t="shared" si="11"/>
        <v>1</v>
      </c>
      <c r="AF7" s="8"/>
      <c r="AG7"/>
      <c r="AH7" s="11"/>
      <c r="AI7" s="11"/>
      <c r="AJ7" s="11"/>
      <c r="AK7"/>
      <c r="AL7" s="11">
        <f t="shared" si="12"/>
        <v>0.72</v>
      </c>
      <c r="AM7" s="16">
        <v>0.72</v>
      </c>
      <c r="AN7" s="43"/>
      <c r="AO7" s="9" t="str">
        <f t="shared" si="13"/>
        <v>Yes</v>
      </c>
      <c r="AP7" s="48" t="str">
        <f t="shared" si="14"/>
        <v>Yes</v>
      </c>
      <c r="AQ7" s="51">
        <f t="shared" si="15"/>
        <v>0</v>
      </c>
      <c r="AR7" s="52">
        <f t="shared" si="16"/>
        <v>0</v>
      </c>
      <c r="AS7" s="52">
        <f t="shared" si="17"/>
        <v>106.4969450101833</v>
      </c>
      <c r="AT7" s="52">
        <f t="shared" si="18"/>
        <v>0</v>
      </c>
      <c r="AU7" s="52">
        <f t="shared" si="19"/>
        <v>523.50305498981663</v>
      </c>
      <c r="AV7" s="52">
        <f t="shared" si="20"/>
        <v>0</v>
      </c>
      <c r="AW7" s="52">
        <f t="shared" si="21"/>
        <v>629.99999999999989</v>
      </c>
      <c r="AX7" s="49">
        <f t="shared" si="22"/>
        <v>0.6</v>
      </c>
      <c r="AY7" s="53">
        <f t="shared" si="23"/>
        <v>0.4</v>
      </c>
      <c r="AZ7" s="51">
        <f t="shared" si="24"/>
        <v>0</v>
      </c>
      <c r="BA7" s="52">
        <f t="shared" si="25"/>
        <v>0</v>
      </c>
      <c r="BB7" s="52">
        <f t="shared" si="26"/>
        <v>17.073319755600814</v>
      </c>
      <c r="BC7" s="52">
        <f t="shared" si="27"/>
        <v>0</v>
      </c>
      <c r="BD7" s="52">
        <f t="shared" si="28"/>
        <v>83.926680244399179</v>
      </c>
      <c r="BE7" s="52">
        <f t="shared" si="29"/>
        <v>0</v>
      </c>
      <c r="BF7" s="52">
        <f t="shared" si="30"/>
        <v>101</v>
      </c>
      <c r="BG7" s="49">
        <f t="shared" si="31"/>
        <v>0.6</v>
      </c>
      <c r="BH7" s="49">
        <f t="shared" si="32"/>
        <v>0.4</v>
      </c>
      <c r="BI7" s="100"/>
      <c r="BJ7" s="102"/>
      <c r="BK7" s="49">
        <f>BK$52/SUM($BK$52,$BM$52)</f>
        <v>0.1690427698574338</v>
      </c>
      <c r="BL7" s="49"/>
      <c r="BM7" s="49">
        <f>BM$52/SUM($BK$52,$BM$52)</f>
        <v>0.83095723014256617</v>
      </c>
      <c r="BN7" s="102"/>
      <c r="BO7" s="41">
        <f t="shared" si="33"/>
        <v>630</v>
      </c>
      <c r="BP7" s="41">
        <f t="shared" si="34"/>
        <v>101</v>
      </c>
      <c r="BQ7" s="40" t="s">
        <v>87</v>
      </c>
      <c r="BR7" s="64">
        <f>'[3]bc 4 year'!P$6/1000000</f>
        <v>0.90820986000000004</v>
      </c>
      <c r="BS7" s="17">
        <f>'[3]bc 4 year'!Q$6/1000000</f>
        <v>0.56477449000000002</v>
      </c>
      <c r="BT7" s="17">
        <f>'[3]bc 4 year'!R$6/1000000</f>
        <v>1.3943160000000001</v>
      </c>
      <c r="BU7" s="41">
        <f>'[3]bc 4 year'!S$6/1000000</f>
        <v>0.72204000000000002</v>
      </c>
      <c r="BV7" s="123">
        <f t="shared" si="2"/>
        <v>2020</v>
      </c>
      <c r="BW7" s="113">
        <f t="shared" si="3"/>
        <v>1158.4620430750915</v>
      </c>
      <c r="BX7" s="113">
        <f t="shared" si="4"/>
        <v>141012.15999999997</v>
      </c>
      <c r="BY7" s="113">
        <f t="shared" si="5"/>
        <v>80869.918302985985</v>
      </c>
      <c r="BZ7" s="124">
        <f t="shared" si="6"/>
        <v>0.62151367349834663</v>
      </c>
      <c r="CA7" s="125">
        <f t="shared" si="7"/>
        <v>8.9031869341385903</v>
      </c>
    </row>
    <row r="8" spans="1:84" s="27" customFormat="1">
      <c r="A8" s="3" t="s">
        <v>116</v>
      </c>
      <c r="B8" t="s">
        <v>117</v>
      </c>
      <c r="C8" t="s">
        <v>55</v>
      </c>
      <c r="D8" s="9"/>
      <c r="E8" s="1"/>
      <c r="F8" s="1" t="s">
        <v>122</v>
      </c>
      <c r="G8" s="1" t="s">
        <v>122</v>
      </c>
      <c r="H8" s="1" t="s">
        <v>122</v>
      </c>
      <c r="I8" s="1" t="s">
        <v>122</v>
      </c>
      <c r="J8" s="18"/>
      <c r="K8" s="11"/>
      <c r="L8" s="11"/>
      <c r="M8" s="11"/>
      <c r="N8" s="11"/>
      <c r="O8" s="11"/>
      <c r="P8" s="11">
        <f t="shared" si="8"/>
        <v>5.421875</v>
      </c>
      <c r="Q8" s="11">
        <f>8675/1000*5/8</f>
        <v>5.421875</v>
      </c>
      <c r="R8" s="49">
        <v>0.9</v>
      </c>
      <c r="S8" s="49">
        <v>0.1</v>
      </c>
      <c r="T8" s="33">
        <f t="shared" si="9"/>
        <v>0</v>
      </c>
      <c r="U8" s="16"/>
      <c r="V8" s="16"/>
      <c r="W8" s="16"/>
      <c r="X8" s="16"/>
      <c r="Y8" s="16"/>
      <c r="Z8" s="16"/>
      <c r="AA8" s="11">
        <f t="shared" si="10"/>
        <v>1.0843750000000001</v>
      </c>
      <c r="AB8" s="11">
        <f>8675/1000/8</f>
        <v>1.0843750000000001</v>
      </c>
      <c r="AC8" s="49">
        <v>0.9</v>
      </c>
      <c r="AD8" s="49">
        <v>0.1</v>
      </c>
      <c r="AE8" s="33">
        <f t="shared" si="11"/>
        <v>0</v>
      </c>
      <c r="AF8" s="8"/>
      <c r="AG8"/>
      <c r="AH8"/>
      <c r="AI8"/>
      <c r="AJ8"/>
      <c r="AK8"/>
      <c r="AL8" s="11">
        <f t="shared" si="12"/>
        <v>5.5487500000000002E-2</v>
      </c>
      <c r="AM8" s="15">
        <f>443900/1000000/8</f>
        <v>5.5487500000000002E-2</v>
      </c>
      <c r="AN8" s="44"/>
      <c r="AO8" s="9" t="str">
        <f t="shared" si="13"/>
        <v>Yes</v>
      </c>
      <c r="AP8" s="48" t="str">
        <f t="shared" si="14"/>
        <v>No</v>
      </c>
      <c r="AQ8" s="51">
        <f t="shared" si="15"/>
        <v>0</v>
      </c>
      <c r="AR8" s="52">
        <f t="shared" si="16"/>
        <v>0</v>
      </c>
      <c r="AS8" s="52">
        <f t="shared" si="17"/>
        <v>0.86461310215704268</v>
      </c>
      <c r="AT8" s="52">
        <f t="shared" si="18"/>
        <v>7.6572070034508583E-2</v>
      </c>
      <c r="AU8" s="52">
        <f t="shared" si="19"/>
        <v>4.2501463334948602</v>
      </c>
      <c r="AV8" s="52">
        <f t="shared" si="20"/>
        <v>0.23054349431358839</v>
      </c>
      <c r="AW8" s="52">
        <f t="shared" si="21"/>
        <v>5.421875</v>
      </c>
      <c r="AX8" s="49">
        <f t="shared" si="22"/>
        <v>0.9</v>
      </c>
      <c r="AY8" s="53">
        <f t="shared" si="23"/>
        <v>0.1</v>
      </c>
      <c r="AZ8" s="51">
        <f t="shared" si="24"/>
        <v>0</v>
      </c>
      <c r="BA8" s="52">
        <f t="shared" si="25"/>
        <v>0</v>
      </c>
      <c r="BB8" s="52">
        <f t="shared" si="26"/>
        <v>0.17292262043140855</v>
      </c>
      <c r="BC8" s="52">
        <f t="shared" si="27"/>
        <v>1.5314414006901717E-2</v>
      </c>
      <c r="BD8" s="52">
        <f t="shared" si="28"/>
        <v>0.85002926669897216</v>
      </c>
      <c r="BE8" s="52">
        <f t="shared" si="29"/>
        <v>4.6108698862717679E-2</v>
      </c>
      <c r="BF8" s="52">
        <f t="shared" si="30"/>
        <v>1.0843750000000001</v>
      </c>
      <c r="BG8" s="49">
        <f t="shared" si="31"/>
        <v>0.9</v>
      </c>
      <c r="BH8" s="49">
        <f t="shared" si="32"/>
        <v>0.1</v>
      </c>
      <c r="BI8" s="100"/>
      <c r="BJ8" s="102"/>
      <c r="BK8" s="102">
        <f>BK52/SUM($BK$52:$BN$52)</f>
        <v>0.15946754621916637</v>
      </c>
      <c r="BL8" s="102">
        <f>BL52/SUM($BK$52:$BN$52)</f>
        <v>1.412280254238775E-2</v>
      </c>
      <c r="BM8" s="102">
        <f>BM52/SUM($BK$52:$BN$52)</f>
        <v>0.78388866093276965</v>
      </c>
      <c r="BN8" s="102">
        <f>BN52/SUM($BK$52:$BN$52)</f>
        <v>4.2520990305676243E-2</v>
      </c>
      <c r="BO8" s="41">
        <f t="shared" si="33"/>
        <v>5.421875</v>
      </c>
      <c r="BP8" s="41">
        <f t="shared" si="34"/>
        <v>1.0843750000000001</v>
      </c>
      <c r="BQ8" s="40" t="s">
        <v>87</v>
      </c>
      <c r="BR8" s="66">
        <f>443900/1000000/8</f>
        <v>5.5487500000000002E-2</v>
      </c>
      <c r="BS8" s="15">
        <f>443900/1000000/8</f>
        <v>5.5487500000000002E-2</v>
      </c>
      <c r="BT8" s="15">
        <f>443900/1000000/8</f>
        <v>5.5487500000000002E-2</v>
      </c>
      <c r="BU8" s="114">
        <f>443900/1000000/8</f>
        <v>5.5487500000000002E-2</v>
      </c>
      <c r="BV8" s="123">
        <f t="shared" si="2"/>
        <v>21.6875</v>
      </c>
      <c r="BW8" s="113">
        <f t="shared" si="3"/>
        <v>12.437695821381707</v>
      </c>
      <c r="BX8" s="113">
        <f t="shared" si="4"/>
        <v>1186.5665000000001</v>
      </c>
      <c r="BY8" s="113">
        <f t="shared" si="5"/>
        <v>680.49121377943595</v>
      </c>
      <c r="BZ8" s="124">
        <f t="shared" si="6"/>
        <v>4.4612362930287421</v>
      </c>
      <c r="CA8" s="125">
        <f t="shared" si="7"/>
        <v>81.540362133147056</v>
      </c>
    </row>
    <row r="9" spans="1:84" s="27" customFormat="1">
      <c r="A9" s="3" t="s">
        <v>49</v>
      </c>
      <c r="B9" t="s">
        <v>118</v>
      </c>
      <c r="C9" t="s">
        <v>56</v>
      </c>
      <c r="D9" s="9" t="s">
        <v>122</v>
      </c>
      <c r="E9" s="1" t="s">
        <v>122</v>
      </c>
      <c r="F9" s="1"/>
      <c r="G9" s="1"/>
      <c r="H9" s="1"/>
      <c r="I9" s="1"/>
      <c r="J9" s="18">
        <v>0</v>
      </c>
      <c r="K9" s="11">
        <v>0</v>
      </c>
      <c r="L9" s="11"/>
      <c r="M9" s="11"/>
      <c r="N9" s="11"/>
      <c r="O9" s="11"/>
      <c r="P9" s="11">
        <f t="shared" si="8"/>
        <v>0</v>
      </c>
      <c r="Q9" s="3"/>
      <c r="R9" s="49">
        <v>0</v>
      </c>
      <c r="S9" s="49">
        <v>0</v>
      </c>
      <c r="T9" s="33">
        <f t="shared" si="9"/>
        <v>1</v>
      </c>
      <c r="U9" s="16">
        <v>0</v>
      </c>
      <c r="V9" s="16">
        <v>0</v>
      </c>
      <c r="W9" s="16"/>
      <c r="X9" s="16"/>
      <c r="Y9" s="16"/>
      <c r="Z9" s="16"/>
      <c r="AA9" s="11">
        <f t="shared" ref="AA9:AA14" si="35">SUM(U9:Z9,AB9)</f>
        <v>0</v>
      </c>
      <c r="AB9" s="11">
        <v>0</v>
      </c>
      <c r="AC9" s="49">
        <v>0</v>
      </c>
      <c r="AD9" s="49">
        <v>0</v>
      </c>
      <c r="AE9" s="33">
        <f t="shared" si="11"/>
        <v>1</v>
      </c>
      <c r="AF9" s="8"/>
      <c r="AG9"/>
      <c r="AH9"/>
      <c r="AI9"/>
      <c r="AJ9"/>
      <c r="AK9"/>
      <c r="AL9" s="41">
        <f t="shared" si="12"/>
        <v>1.8</v>
      </c>
      <c r="AM9" s="15">
        <v>1.8</v>
      </c>
      <c r="AN9" s="43"/>
      <c r="AO9" s="9" t="str">
        <f t="shared" si="13"/>
        <v>No</v>
      </c>
      <c r="AP9" s="48" t="str">
        <f t="shared" si="14"/>
        <v>Yes</v>
      </c>
      <c r="AQ9" s="51">
        <f t="shared" si="15"/>
        <v>0</v>
      </c>
      <c r="AR9" s="52">
        <f t="shared" si="16"/>
        <v>0</v>
      </c>
      <c r="AS9" s="52">
        <f t="shared" si="17"/>
        <v>0</v>
      </c>
      <c r="AT9" s="52">
        <f t="shared" si="18"/>
        <v>0</v>
      </c>
      <c r="AU9" s="52">
        <f t="shared" si="19"/>
        <v>0</v>
      </c>
      <c r="AV9" s="52">
        <f t="shared" si="20"/>
        <v>0</v>
      </c>
      <c r="AW9" s="52">
        <f t="shared" si="21"/>
        <v>0</v>
      </c>
      <c r="AX9" s="49">
        <f t="shared" si="22"/>
        <v>0.6</v>
      </c>
      <c r="AY9" s="53">
        <f t="shared" si="23"/>
        <v>0.4</v>
      </c>
      <c r="AZ9" s="51">
        <f t="shared" si="24"/>
        <v>0</v>
      </c>
      <c r="BA9" s="52">
        <f t="shared" si="25"/>
        <v>0</v>
      </c>
      <c r="BB9" s="52">
        <f t="shared" si="26"/>
        <v>0</v>
      </c>
      <c r="BC9" s="52">
        <f t="shared" si="27"/>
        <v>0</v>
      </c>
      <c r="BD9" s="52">
        <f t="shared" si="28"/>
        <v>0</v>
      </c>
      <c r="BE9" s="52">
        <f t="shared" si="29"/>
        <v>0</v>
      </c>
      <c r="BF9" s="52">
        <f t="shared" si="30"/>
        <v>0</v>
      </c>
      <c r="BG9" s="49">
        <f t="shared" si="31"/>
        <v>0.6</v>
      </c>
      <c r="BH9" s="49">
        <f t="shared" si="32"/>
        <v>0.4</v>
      </c>
      <c r="BI9" s="100"/>
      <c r="BJ9" s="102"/>
      <c r="BK9" s="102"/>
      <c r="BL9" s="102"/>
      <c r="BM9" s="102"/>
      <c r="BN9" s="102"/>
      <c r="BO9" s="41">
        <f t="shared" si="33"/>
        <v>0</v>
      </c>
      <c r="BP9" s="41">
        <f t="shared" si="34"/>
        <v>0</v>
      </c>
      <c r="BQ9" s="3"/>
      <c r="BR9" s="56">
        <v>0</v>
      </c>
      <c r="BS9" s="3">
        <v>0</v>
      </c>
      <c r="BT9" s="3">
        <v>0</v>
      </c>
      <c r="BU9" s="41">
        <f t="shared" ref="BU9:BU14" si="36">AL9</f>
        <v>1.8</v>
      </c>
      <c r="BV9" s="123">
        <f t="shared" si="2"/>
        <v>0</v>
      </c>
      <c r="BW9" s="113">
        <f t="shared" si="3"/>
        <v>0</v>
      </c>
      <c r="BX9" s="113">
        <f t="shared" si="4"/>
        <v>0</v>
      </c>
      <c r="BY9" s="113">
        <f t="shared" si="5"/>
        <v>0</v>
      </c>
      <c r="BZ9" s="124" t="e">
        <f t="shared" si="6"/>
        <v>#DIV/0!</v>
      </c>
      <c r="CA9" s="125" t="e">
        <f t="shared" si="7"/>
        <v>#DIV/0!</v>
      </c>
    </row>
    <row r="10" spans="1:84" s="27" customFormat="1">
      <c r="A10" s="3" t="s">
        <v>10</v>
      </c>
      <c r="B10" t="s">
        <v>118</v>
      </c>
      <c r="C10" t="s">
        <v>56</v>
      </c>
      <c r="D10" s="9" t="s">
        <v>122</v>
      </c>
      <c r="E10" s="1" t="s">
        <v>122</v>
      </c>
      <c r="F10" s="1"/>
      <c r="G10" s="1"/>
      <c r="H10" s="1"/>
      <c r="I10" s="1"/>
      <c r="J10" s="18">
        <v>0</v>
      </c>
      <c r="K10" s="11">
        <v>0</v>
      </c>
      <c r="L10" s="11"/>
      <c r="M10" s="11"/>
      <c r="N10" s="11"/>
      <c r="O10" s="11"/>
      <c r="P10" s="11">
        <f t="shared" si="8"/>
        <v>0</v>
      </c>
      <c r="Q10" s="3"/>
      <c r="R10" s="49">
        <v>0</v>
      </c>
      <c r="S10" s="49">
        <v>0</v>
      </c>
      <c r="T10" s="33">
        <f t="shared" si="9"/>
        <v>1</v>
      </c>
      <c r="U10" s="16">
        <v>0</v>
      </c>
      <c r="V10" s="16">
        <v>0</v>
      </c>
      <c r="W10" s="16"/>
      <c r="X10" s="16"/>
      <c r="Y10" s="16"/>
      <c r="Z10" s="16"/>
      <c r="AA10" s="11">
        <f t="shared" si="35"/>
        <v>0</v>
      </c>
      <c r="AB10" s="11">
        <v>0</v>
      </c>
      <c r="AC10" s="49">
        <v>0</v>
      </c>
      <c r="AD10" s="49">
        <v>0</v>
      </c>
      <c r="AE10" s="33">
        <f t="shared" si="11"/>
        <v>1</v>
      </c>
      <c r="AF10" s="8"/>
      <c r="AG10"/>
      <c r="AH10"/>
      <c r="AI10"/>
      <c r="AJ10"/>
      <c r="AK10"/>
      <c r="AL10" s="41">
        <f t="shared" si="12"/>
        <v>0.3</v>
      </c>
      <c r="AM10" s="15">
        <v>0.3</v>
      </c>
      <c r="AN10" s="43"/>
      <c r="AO10" s="9" t="str">
        <f t="shared" si="13"/>
        <v>No</v>
      </c>
      <c r="AP10" s="48" t="str">
        <f t="shared" si="14"/>
        <v>Yes</v>
      </c>
      <c r="AQ10" s="51">
        <f t="shared" si="15"/>
        <v>0</v>
      </c>
      <c r="AR10" s="52">
        <f t="shared" si="16"/>
        <v>0</v>
      </c>
      <c r="AS10" s="52">
        <f t="shared" si="17"/>
        <v>0</v>
      </c>
      <c r="AT10" s="52">
        <f t="shared" si="18"/>
        <v>0</v>
      </c>
      <c r="AU10" s="52">
        <f t="shared" si="19"/>
        <v>0</v>
      </c>
      <c r="AV10" s="52">
        <f t="shared" si="20"/>
        <v>0</v>
      </c>
      <c r="AW10" s="52">
        <f t="shared" si="21"/>
        <v>0</v>
      </c>
      <c r="AX10" s="49">
        <f t="shared" si="22"/>
        <v>0.6</v>
      </c>
      <c r="AY10" s="53">
        <f t="shared" si="23"/>
        <v>0.4</v>
      </c>
      <c r="AZ10" s="51">
        <f t="shared" si="24"/>
        <v>0</v>
      </c>
      <c r="BA10" s="52">
        <f t="shared" si="25"/>
        <v>0</v>
      </c>
      <c r="BB10" s="52">
        <f t="shared" si="26"/>
        <v>0</v>
      </c>
      <c r="BC10" s="52">
        <f t="shared" si="27"/>
        <v>0</v>
      </c>
      <c r="BD10" s="52">
        <f t="shared" si="28"/>
        <v>0</v>
      </c>
      <c r="BE10" s="52">
        <f t="shared" si="29"/>
        <v>0</v>
      </c>
      <c r="BF10" s="52">
        <f t="shared" si="30"/>
        <v>0</v>
      </c>
      <c r="BG10" s="49">
        <f t="shared" si="31"/>
        <v>0.6</v>
      </c>
      <c r="BH10" s="49">
        <f t="shared" si="32"/>
        <v>0.4</v>
      </c>
      <c r="BI10" s="100"/>
      <c r="BJ10" s="102"/>
      <c r="BK10" s="102"/>
      <c r="BL10" s="102"/>
      <c r="BM10" s="102"/>
      <c r="BN10" s="102"/>
      <c r="BO10" s="41">
        <f t="shared" si="33"/>
        <v>0</v>
      </c>
      <c r="BP10" s="41">
        <f t="shared" si="34"/>
        <v>0</v>
      </c>
      <c r="BQ10" s="3"/>
      <c r="BR10" s="56">
        <v>0</v>
      </c>
      <c r="BS10" s="3">
        <v>0</v>
      </c>
      <c r="BT10" s="3">
        <v>0</v>
      </c>
      <c r="BU10" s="41">
        <f t="shared" si="36"/>
        <v>0.3</v>
      </c>
      <c r="BV10" s="123">
        <f t="shared" si="2"/>
        <v>0</v>
      </c>
      <c r="BW10" s="113">
        <f t="shared" si="3"/>
        <v>0</v>
      </c>
      <c r="BX10" s="113">
        <f t="shared" si="4"/>
        <v>0</v>
      </c>
      <c r="BY10" s="113">
        <f t="shared" si="5"/>
        <v>0</v>
      </c>
      <c r="BZ10" s="124" t="e">
        <f t="shared" si="6"/>
        <v>#DIV/0!</v>
      </c>
      <c r="CA10" s="125" t="e">
        <f t="shared" si="7"/>
        <v>#DIV/0!</v>
      </c>
    </row>
    <row r="11" spans="1:84" s="27" customFormat="1">
      <c r="A11" s="3" t="s">
        <v>229</v>
      </c>
      <c r="B11" t="s">
        <v>118</v>
      </c>
      <c r="C11" t="s">
        <v>56</v>
      </c>
      <c r="D11" s="9" t="s">
        <v>122</v>
      </c>
      <c r="E11" s="1" t="s">
        <v>122</v>
      </c>
      <c r="F11" s="1"/>
      <c r="G11" s="1"/>
      <c r="H11" s="1"/>
      <c r="I11" s="1"/>
      <c r="J11" s="18">
        <v>0</v>
      </c>
      <c r="K11" s="11">
        <v>0</v>
      </c>
      <c r="L11" s="11"/>
      <c r="M11" s="11"/>
      <c r="N11" s="11"/>
      <c r="O11" s="11"/>
      <c r="P11" s="11">
        <f t="shared" si="8"/>
        <v>0</v>
      </c>
      <c r="Q11" s="3"/>
      <c r="R11" s="49">
        <v>0</v>
      </c>
      <c r="S11" s="49">
        <v>0</v>
      </c>
      <c r="T11" s="33">
        <f t="shared" si="9"/>
        <v>1</v>
      </c>
      <c r="U11" s="16">
        <v>0</v>
      </c>
      <c r="V11" s="16">
        <v>0</v>
      </c>
      <c r="W11" s="16"/>
      <c r="X11" s="16"/>
      <c r="Y11" s="16"/>
      <c r="Z11" s="16"/>
      <c r="AA11" s="11">
        <f t="shared" si="35"/>
        <v>0</v>
      </c>
      <c r="AB11" s="11">
        <v>0</v>
      </c>
      <c r="AC11" s="49">
        <v>0</v>
      </c>
      <c r="AD11" s="49">
        <v>0</v>
      </c>
      <c r="AE11" s="33">
        <f t="shared" si="11"/>
        <v>1</v>
      </c>
      <c r="AF11" s="8"/>
      <c r="AG11"/>
      <c r="AH11"/>
      <c r="AI11"/>
      <c r="AJ11"/>
      <c r="AK11"/>
      <c r="AL11" s="41">
        <f t="shared" si="12"/>
        <v>0.2</v>
      </c>
      <c r="AM11" s="15">
        <v>0.2</v>
      </c>
      <c r="AN11" s="43"/>
      <c r="AO11" s="9" t="str">
        <f t="shared" si="13"/>
        <v>No</v>
      </c>
      <c r="AP11" s="48" t="str">
        <f t="shared" si="14"/>
        <v>Yes</v>
      </c>
      <c r="AQ11" s="51">
        <f t="shared" si="15"/>
        <v>0</v>
      </c>
      <c r="AR11" s="52">
        <f t="shared" si="16"/>
        <v>0</v>
      </c>
      <c r="AS11" s="52">
        <f t="shared" si="17"/>
        <v>0</v>
      </c>
      <c r="AT11" s="52">
        <f t="shared" si="18"/>
        <v>0</v>
      </c>
      <c r="AU11" s="52">
        <f t="shared" si="19"/>
        <v>0</v>
      </c>
      <c r="AV11" s="52">
        <f t="shared" si="20"/>
        <v>0</v>
      </c>
      <c r="AW11" s="52">
        <f t="shared" si="21"/>
        <v>0</v>
      </c>
      <c r="AX11" s="49">
        <f t="shared" si="22"/>
        <v>0.6</v>
      </c>
      <c r="AY11" s="53">
        <f t="shared" si="23"/>
        <v>0.4</v>
      </c>
      <c r="AZ11" s="51">
        <f t="shared" si="24"/>
        <v>0</v>
      </c>
      <c r="BA11" s="52">
        <f t="shared" si="25"/>
        <v>0</v>
      </c>
      <c r="BB11" s="52">
        <f t="shared" si="26"/>
        <v>0</v>
      </c>
      <c r="BC11" s="52">
        <f t="shared" si="27"/>
        <v>0</v>
      </c>
      <c r="BD11" s="52">
        <f t="shared" si="28"/>
        <v>0</v>
      </c>
      <c r="BE11" s="52">
        <f t="shared" si="29"/>
        <v>0</v>
      </c>
      <c r="BF11" s="52">
        <f t="shared" si="30"/>
        <v>0</v>
      </c>
      <c r="BG11" s="49">
        <f t="shared" si="31"/>
        <v>0.6</v>
      </c>
      <c r="BH11" s="49">
        <f t="shared" si="32"/>
        <v>0.4</v>
      </c>
      <c r="BI11" s="100"/>
      <c r="BJ11" s="102"/>
      <c r="BK11" s="102"/>
      <c r="BL11" s="102"/>
      <c r="BM11" s="102"/>
      <c r="BN11" s="102"/>
      <c r="BO11" s="41">
        <f t="shared" si="33"/>
        <v>0</v>
      </c>
      <c r="BP11" s="41">
        <f t="shared" si="34"/>
        <v>0</v>
      </c>
      <c r="BQ11" s="3"/>
      <c r="BR11" s="56">
        <v>0</v>
      </c>
      <c r="BS11" s="3">
        <v>0</v>
      </c>
      <c r="BT11" s="3">
        <v>0</v>
      </c>
      <c r="BU11" s="41">
        <f t="shared" si="36"/>
        <v>0.2</v>
      </c>
      <c r="BV11" s="123">
        <f t="shared" si="2"/>
        <v>0</v>
      </c>
      <c r="BW11" s="113">
        <f t="shared" si="3"/>
        <v>0</v>
      </c>
      <c r="BX11" s="113">
        <f t="shared" si="4"/>
        <v>0</v>
      </c>
      <c r="BY11" s="113">
        <f t="shared" si="5"/>
        <v>0</v>
      </c>
      <c r="BZ11" s="124" t="e">
        <f t="shared" si="6"/>
        <v>#DIV/0!</v>
      </c>
      <c r="CA11" s="125" t="e">
        <f t="shared" si="7"/>
        <v>#DIV/0!</v>
      </c>
    </row>
    <row r="12" spans="1:84" s="27" customFormat="1">
      <c r="A12" s="3" t="s">
        <v>257</v>
      </c>
      <c r="B12" t="s">
        <v>118</v>
      </c>
      <c r="C12" t="s">
        <v>56</v>
      </c>
      <c r="D12" s="9" t="s">
        <v>122</v>
      </c>
      <c r="E12" s="1" t="s">
        <v>122</v>
      </c>
      <c r="F12" s="1"/>
      <c r="G12" s="1"/>
      <c r="H12" s="1"/>
      <c r="I12" s="1"/>
      <c r="J12" s="18">
        <v>0</v>
      </c>
      <c r="K12" s="11">
        <v>0</v>
      </c>
      <c r="L12" s="11"/>
      <c r="M12" s="11"/>
      <c r="N12" s="11"/>
      <c r="O12" s="11"/>
      <c r="P12" s="11">
        <f t="shared" si="8"/>
        <v>0</v>
      </c>
      <c r="Q12" s="3"/>
      <c r="R12" s="49">
        <v>0</v>
      </c>
      <c r="S12" s="49">
        <v>0</v>
      </c>
      <c r="T12" s="33">
        <f t="shared" si="9"/>
        <v>1</v>
      </c>
      <c r="U12" s="16">
        <v>0</v>
      </c>
      <c r="V12" s="16">
        <v>0</v>
      </c>
      <c r="W12" s="16"/>
      <c r="X12" s="16"/>
      <c r="Y12" s="16"/>
      <c r="Z12" s="16"/>
      <c r="AA12" s="11">
        <f t="shared" si="35"/>
        <v>0</v>
      </c>
      <c r="AB12" s="11">
        <v>0</v>
      </c>
      <c r="AC12" s="49">
        <v>0</v>
      </c>
      <c r="AD12" s="49">
        <v>0</v>
      </c>
      <c r="AE12" s="33">
        <f t="shared" si="11"/>
        <v>1</v>
      </c>
      <c r="AF12" s="8"/>
      <c r="AG12"/>
      <c r="AH12"/>
      <c r="AI12"/>
      <c r="AJ12"/>
      <c r="AK12"/>
      <c r="AL12" s="41">
        <f t="shared" si="12"/>
        <v>19.7</v>
      </c>
      <c r="AM12" s="15">
        <v>19.7</v>
      </c>
      <c r="AN12" s="43"/>
      <c r="AO12" s="9" t="str">
        <f t="shared" si="13"/>
        <v>No</v>
      </c>
      <c r="AP12" s="48" t="str">
        <f t="shared" si="14"/>
        <v>Yes</v>
      </c>
      <c r="AQ12" s="51">
        <f t="shared" si="15"/>
        <v>0</v>
      </c>
      <c r="AR12" s="52">
        <f t="shared" si="16"/>
        <v>0</v>
      </c>
      <c r="AS12" s="52">
        <f t="shared" si="17"/>
        <v>0</v>
      </c>
      <c r="AT12" s="52">
        <f t="shared" si="18"/>
        <v>0</v>
      </c>
      <c r="AU12" s="52">
        <f t="shared" si="19"/>
        <v>0</v>
      </c>
      <c r="AV12" s="52">
        <f t="shared" si="20"/>
        <v>0</v>
      </c>
      <c r="AW12" s="52">
        <f t="shared" si="21"/>
        <v>0</v>
      </c>
      <c r="AX12" s="49">
        <f t="shared" si="22"/>
        <v>0.6</v>
      </c>
      <c r="AY12" s="53">
        <f t="shared" si="23"/>
        <v>0.4</v>
      </c>
      <c r="AZ12" s="51">
        <f t="shared" si="24"/>
        <v>0</v>
      </c>
      <c r="BA12" s="52">
        <f t="shared" si="25"/>
        <v>0</v>
      </c>
      <c r="BB12" s="52">
        <f t="shared" si="26"/>
        <v>0</v>
      </c>
      <c r="BC12" s="52">
        <f t="shared" si="27"/>
        <v>0</v>
      </c>
      <c r="BD12" s="52">
        <f t="shared" si="28"/>
        <v>0</v>
      </c>
      <c r="BE12" s="52">
        <f t="shared" si="29"/>
        <v>0</v>
      </c>
      <c r="BF12" s="52">
        <f t="shared" si="30"/>
        <v>0</v>
      </c>
      <c r="BG12" s="49">
        <f t="shared" si="31"/>
        <v>0.6</v>
      </c>
      <c r="BH12" s="49">
        <f t="shared" si="32"/>
        <v>0.4</v>
      </c>
      <c r="BI12" s="100"/>
      <c r="BJ12" s="102"/>
      <c r="BK12" s="102"/>
      <c r="BL12" s="102"/>
      <c r="BM12" s="102"/>
      <c r="BN12" s="102"/>
      <c r="BO12" s="41">
        <f t="shared" si="33"/>
        <v>0</v>
      </c>
      <c r="BP12" s="41">
        <f t="shared" si="34"/>
        <v>0</v>
      </c>
      <c r="BQ12" s="3"/>
      <c r="BR12" s="56"/>
      <c r="BS12" s="3"/>
      <c r="BT12" s="41"/>
      <c r="BU12" s="41">
        <f t="shared" si="36"/>
        <v>19.7</v>
      </c>
      <c r="BV12" s="123">
        <f t="shared" si="2"/>
        <v>0</v>
      </c>
      <c r="BW12" s="113">
        <f t="shared" si="3"/>
        <v>0</v>
      </c>
      <c r="BX12" s="113">
        <f t="shared" si="4"/>
        <v>0</v>
      </c>
      <c r="BY12" s="113">
        <f t="shared" si="5"/>
        <v>0</v>
      </c>
      <c r="BZ12" s="124" t="e">
        <f t="shared" si="6"/>
        <v>#DIV/0!</v>
      </c>
      <c r="CA12" s="125" t="e">
        <f t="shared" si="7"/>
        <v>#DIV/0!</v>
      </c>
    </row>
    <row r="13" spans="1:84" s="27" customFormat="1">
      <c r="A13" s="3" t="s">
        <v>62</v>
      </c>
      <c r="B13" t="s">
        <v>118</v>
      </c>
      <c r="C13" t="s">
        <v>56</v>
      </c>
      <c r="D13" s="9"/>
      <c r="E13" s="1"/>
      <c r="F13" s="1" t="s">
        <v>122</v>
      </c>
      <c r="G13" s="1" t="s">
        <v>122</v>
      </c>
      <c r="H13" s="1" t="s">
        <v>122</v>
      </c>
      <c r="I13" s="1" t="s">
        <v>122</v>
      </c>
      <c r="J13" s="18"/>
      <c r="K13" s="11"/>
      <c r="L13" s="11">
        <v>0</v>
      </c>
      <c r="M13" s="11">
        <v>0</v>
      </c>
      <c r="N13" s="11">
        <v>0</v>
      </c>
      <c r="O13" s="11">
        <v>0</v>
      </c>
      <c r="P13" s="11">
        <f t="shared" si="8"/>
        <v>0</v>
      </c>
      <c r="Q13" s="3"/>
      <c r="R13" s="49">
        <v>0</v>
      </c>
      <c r="S13" s="49">
        <v>0</v>
      </c>
      <c r="T13" s="33">
        <f t="shared" si="9"/>
        <v>1</v>
      </c>
      <c r="U13" s="16"/>
      <c r="V13" s="16"/>
      <c r="W13" s="16">
        <v>0</v>
      </c>
      <c r="X13" s="16">
        <v>0</v>
      </c>
      <c r="Y13" s="16">
        <v>0</v>
      </c>
      <c r="Z13" s="16">
        <v>0</v>
      </c>
      <c r="AA13" s="11">
        <f t="shared" si="35"/>
        <v>0</v>
      </c>
      <c r="AB13" s="11">
        <v>0</v>
      </c>
      <c r="AC13" s="49">
        <v>0</v>
      </c>
      <c r="AD13" s="49">
        <v>0</v>
      </c>
      <c r="AE13" s="33">
        <f t="shared" si="11"/>
        <v>1</v>
      </c>
      <c r="AF13" s="8"/>
      <c r="AG13"/>
      <c r="AH13"/>
      <c r="AI13"/>
      <c r="AJ13"/>
      <c r="AK13"/>
      <c r="AL13" s="41">
        <f t="shared" si="12"/>
        <v>21.1</v>
      </c>
      <c r="AM13" s="15">
        <v>21.1</v>
      </c>
      <c r="AN13" s="43"/>
      <c r="AO13" s="9" t="str">
        <f t="shared" si="13"/>
        <v>No</v>
      </c>
      <c r="AP13" s="48" t="str">
        <f t="shared" si="14"/>
        <v>Yes</v>
      </c>
      <c r="AQ13" s="51">
        <f t="shared" si="15"/>
        <v>0</v>
      </c>
      <c r="AR13" s="52">
        <f t="shared" si="16"/>
        <v>0</v>
      </c>
      <c r="AS13" s="52">
        <f t="shared" si="17"/>
        <v>0</v>
      </c>
      <c r="AT13" s="52">
        <f t="shared" si="18"/>
        <v>0</v>
      </c>
      <c r="AU13" s="52">
        <f t="shared" si="19"/>
        <v>0</v>
      </c>
      <c r="AV13" s="52">
        <f t="shared" si="20"/>
        <v>0</v>
      </c>
      <c r="AW13" s="52">
        <f t="shared" si="21"/>
        <v>0</v>
      </c>
      <c r="AX13" s="49">
        <f t="shared" si="22"/>
        <v>0.6</v>
      </c>
      <c r="AY13" s="53">
        <f t="shared" si="23"/>
        <v>0.4</v>
      </c>
      <c r="AZ13" s="51">
        <f t="shared" si="24"/>
        <v>0</v>
      </c>
      <c r="BA13" s="52">
        <f t="shared" si="25"/>
        <v>0</v>
      </c>
      <c r="BB13" s="52">
        <f t="shared" si="26"/>
        <v>0</v>
      </c>
      <c r="BC13" s="52">
        <f t="shared" si="27"/>
        <v>0</v>
      </c>
      <c r="BD13" s="52">
        <f t="shared" si="28"/>
        <v>0</v>
      </c>
      <c r="BE13" s="52">
        <f t="shared" si="29"/>
        <v>0</v>
      </c>
      <c r="BF13" s="52">
        <f t="shared" si="30"/>
        <v>0</v>
      </c>
      <c r="BG13" s="49">
        <f t="shared" si="31"/>
        <v>0.6</v>
      </c>
      <c r="BH13" s="49">
        <f t="shared" si="32"/>
        <v>0.4</v>
      </c>
      <c r="BI13" s="100"/>
      <c r="BJ13" s="102"/>
      <c r="BK13" s="102"/>
      <c r="BL13" s="102"/>
      <c r="BM13" s="102"/>
      <c r="BN13" s="102"/>
      <c r="BO13" s="41">
        <f t="shared" si="33"/>
        <v>0</v>
      </c>
      <c r="BP13" s="41">
        <f t="shared" si="34"/>
        <v>0</v>
      </c>
      <c r="BQ13" s="3"/>
      <c r="BR13" s="56"/>
      <c r="BS13" s="3"/>
      <c r="BT13" s="41"/>
      <c r="BU13" s="41">
        <f t="shared" si="36"/>
        <v>21.1</v>
      </c>
      <c r="BV13" s="123">
        <f t="shared" si="2"/>
        <v>0</v>
      </c>
      <c r="BW13" s="113">
        <f t="shared" si="3"/>
        <v>0</v>
      </c>
      <c r="BX13" s="113">
        <f t="shared" si="4"/>
        <v>0</v>
      </c>
      <c r="BY13" s="113">
        <f t="shared" si="5"/>
        <v>0</v>
      </c>
      <c r="BZ13" s="124" t="e">
        <f t="shared" si="6"/>
        <v>#DIV/0!</v>
      </c>
      <c r="CA13" s="125" t="e">
        <f t="shared" si="7"/>
        <v>#DIV/0!</v>
      </c>
    </row>
    <row r="14" spans="1:84" s="27" customFormat="1">
      <c r="A14" s="3" t="s">
        <v>63</v>
      </c>
      <c r="B14" t="s">
        <v>118</v>
      </c>
      <c r="C14" t="s">
        <v>56</v>
      </c>
      <c r="D14" s="9" t="s">
        <v>122</v>
      </c>
      <c r="E14" s="1" t="s">
        <v>122</v>
      </c>
      <c r="F14" s="1" t="s">
        <v>122</v>
      </c>
      <c r="G14" s="1" t="s">
        <v>122</v>
      </c>
      <c r="H14" s="1" t="s">
        <v>122</v>
      </c>
      <c r="I14" s="1" t="s">
        <v>122</v>
      </c>
      <c r="J14" s="18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f t="shared" si="8"/>
        <v>0</v>
      </c>
      <c r="Q14" s="3"/>
      <c r="R14" s="49">
        <v>0</v>
      </c>
      <c r="S14" s="49">
        <v>0</v>
      </c>
      <c r="T14" s="33">
        <f t="shared" si="9"/>
        <v>1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1">
        <f t="shared" si="35"/>
        <v>0</v>
      </c>
      <c r="AB14" s="11">
        <v>0</v>
      </c>
      <c r="AC14" s="49">
        <v>0</v>
      </c>
      <c r="AD14" s="49">
        <v>0</v>
      </c>
      <c r="AE14" s="33">
        <f t="shared" si="11"/>
        <v>1</v>
      </c>
      <c r="AF14" s="8"/>
      <c r="AG14"/>
      <c r="AH14"/>
      <c r="AI14"/>
      <c r="AJ14"/>
      <c r="AK14"/>
      <c r="AL14" s="41">
        <f t="shared" si="12"/>
        <v>5.9</v>
      </c>
      <c r="AM14" s="15">
        <v>5.9</v>
      </c>
      <c r="AN14" s="43"/>
      <c r="AO14" s="9" t="str">
        <f t="shared" si="13"/>
        <v>No</v>
      </c>
      <c r="AP14" s="48" t="str">
        <f t="shared" si="14"/>
        <v>Yes</v>
      </c>
      <c r="AQ14" s="51">
        <f t="shared" si="15"/>
        <v>0</v>
      </c>
      <c r="AR14" s="52">
        <f t="shared" si="16"/>
        <v>0</v>
      </c>
      <c r="AS14" s="52">
        <f t="shared" si="17"/>
        <v>0</v>
      </c>
      <c r="AT14" s="52">
        <f t="shared" si="18"/>
        <v>0</v>
      </c>
      <c r="AU14" s="52">
        <f t="shared" si="19"/>
        <v>0</v>
      </c>
      <c r="AV14" s="52">
        <f t="shared" si="20"/>
        <v>0</v>
      </c>
      <c r="AW14" s="52">
        <f t="shared" si="21"/>
        <v>0</v>
      </c>
      <c r="AX14" s="49">
        <f t="shared" si="22"/>
        <v>0.6</v>
      </c>
      <c r="AY14" s="53">
        <f t="shared" si="23"/>
        <v>0.4</v>
      </c>
      <c r="AZ14" s="51">
        <f t="shared" si="24"/>
        <v>0</v>
      </c>
      <c r="BA14" s="52">
        <f t="shared" si="25"/>
        <v>0</v>
      </c>
      <c r="BB14" s="52">
        <f t="shared" si="26"/>
        <v>0</v>
      </c>
      <c r="BC14" s="52">
        <f t="shared" si="27"/>
        <v>0</v>
      </c>
      <c r="BD14" s="52">
        <f t="shared" si="28"/>
        <v>0</v>
      </c>
      <c r="BE14" s="52">
        <f t="shared" si="29"/>
        <v>0</v>
      </c>
      <c r="BF14" s="52">
        <f t="shared" si="30"/>
        <v>0</v>
      </c>
      <c r="BG14" s="49">
        <f t="shared" si="31"/>
        <v>0.6</v>
      </c>
      <c r="BH14" s="49">
        <f t="shared" si="32"/>
        <v>0.4</v>
      </c>
      <c r="BI14" s="100"/>
      <c r="BJ14" s="102"/>
      <c r="BK14" s="102"/>
      <c r="BL14" s="102"/>
      <c r="BM14" s="102"/>
      <c r="BN14" s="102"/>
      <c r="BO14" s="41">
        <f t="shared" si="33"/>
        <v>0</v>
      </c>
      <c r="BP14" s="41">
        <f t="shared" si="34"/>
        <v>0</v>
      </c>
      <c r="BQ14" s="3"/>
      <c r="BR14" s="56"/>
      <c r="BS14" s="3"/>
      <c r="BT14" s="3"/>
      <c r="BU14" s="41">
        <f t="shared" si="36"/>
        <v>5.9</v>
      </c>
      <c r="BV14" s="123">
        <f t="shared" si="2"/>
        <v>0</v>
      </c>
      <c r="BW14" s="113">
        <f t="shared" si="3"/>
        <v>0</v>
      </c>
      <c r="BX14" s="113">
        <f t="shared" si="4"/>
        <v>0</v>
      </c>
      <c r="BY14" s="113">
        <f t="shared" si="5"/>
        <v>0</v>
      </c>
      <c r="BZ14" s="124" t="e">
        <f t="shared" si="6"/>
        <v>#DIV/0!</v>
      </c>
      <c r="CA14" s="125" t="e">
        <f t="shared" si="7"/>
        <v>#DIV/0!</v>
      </c>
    </row>
    <row r="15" spans="1:84" s="27" customFormat="1">
      <c r="A15" s="3" t="s">
        <v>26</v>
      </c>
      <c r="B15" s="3" t="s">
        <v>119</v>
      </c>
      <c r="C15" s="3" t="s">
        <v>57</v>
      </c>
      <c r="D15" s="9" t="s">
        <v>122</v>
      </c>
      <c r="E15" s="1" t="s">
        <v>122</v>
      </c>
      <c r="F15" s="1" t="s">
        <v>122</v>
      </c>
      <c r="G15" s="1" t="s">
        <v>122</v>
      </c>
      <c r="H15" s="1" t="s">
        <v>122</v>
      </c>
      <c r="I15" s="1" t="s">
        <v>122</v>
      </c>
      <c r="J15" s="18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f t="shared" si="8"/>
        <v>0</v>
      </c>
      <c r="Q15" s="41"/>
      <c r="R15" s="49">
        <v>0</v>
      </c>
      <c r="S15" s="49">
        <v>0</v>
      </c>
      <c r="T15" s="33">
        <f t="shared" si="9"/>
        <v>1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1">
        <f t="shared" si="10"/>
        <v>0</v>
      </c>
      <c r="AB15" s="41"/>
      <c r="AC15" s="49">
        <v>0</v>
      </c>
      <c r="AD15" s="49">
        <v>0</v>
      </c>
      <c r="AE15" s="33">
        <f t="shared" si="11"/>
        <v>1</v>
      </c>
      <c r="AF15" s="8"/>
      <c r="AG15"/>
      <c r="AH15"/>
      <c r="AI15"/>
      <c r="AJ15"/>
      <c r="AK15"/>
      <c r="AL15" s="11">
        <f t="shared" si="12"/>
        <v>0.16352278000000001</v>
      </c>
      <c r="AM15" s="15">
        <f>163522.78/1000000</f>
        <v>0.16352278000000001</v>
      </c>
      <c r="AN15" s="43" t="s">
        <v>122</v>
      </c>
      <c r="AO15" s="9" t="str">
        <f t="shared" si="13"/>
        <v>No</v>
      </c>
      <c r="AP15" s="48" t="str">
        <f t="shared" si="14"/>
        <v>Yes</v>
      </c>
      <c r="AQ15" s="51">
        <f t="shared" si="15"/>
        <v>0</v>
      </c>
      <c r="AR15" s="52">
        <f t="shared" si="16"/>
        <v>0</v>
      </c>
      <c r="AS15" s="52">
        <f t="shared" si="17"/>
        <v>0</v>
      </c>
      <c r="AT15" s="52">
        <f t="shared" si="18"/>
        <v>0</v>
      </c>
      <c r="AU15" s="52">
        <f t="shared" si="19"/>
        <v>0</v>
      </c>
      <c r="AV15" s="52">
        <f t="shared" si="20"/>
        <v>0</v>
      </c>
      <c r="AW15" s="52">
        <f t="shared" si="21"/>
        <v>0</v>
      </c>
      <c r="AX15" s="49">
        <f t="shared" si="22"/>
        <v>0.6</v>
      </c>
      <c r="AY15" s="53">
        <f t="shared" si="23"/>
        <v>0.4</v>
      </c>
      <c r="AZ15" s="51">
        <f t="shared" si="24"/>
        <v>0</v>
      </c>
      <c r="BA15" s="52">
        <f t="shared" si="25"/>
        <v>0</v>
      </c>
      <c r="BB15" s="52">
        <f t="shared" si="26"/>
        <v>0</v>
      </c>
      <c r="BC15" s="52">
        <f t="shared" si="27"/>
        <v>0</v>
      </c>
      <c r="BD15" s="52">
        <f t="shared" si="28"/>
        <v>0</v>
      </c>
      <c r="BE15" s="52">
        <f t="shared" si="29"/>
        <v>0</v>
      </c>
      <c r="BF15" s="52">
        <f t="shared" si="30"/>
        <v>0</v>
      </c>
      <c r="BG15" s="49">
        <f t="shared" si="31"/>
        <v>0.6</v>
      </c>
      <c r="BH15" s="49">
        <f t="shared" si="32"/>
        <v>0.4</v>
      </c>
      <c r="BI15" s="100"/>
      <c r="BJ15" s="102"/>
      <c r="BK15" s="102"/>
      <c r="BL15" s="102"/>
      <c r="BM15" s="102"/>
      <c r="BN15" s="102"/>
      <c r="BO15" s="41">
        <f t="shared" si="33"/>
        <v>0</v>
      </c>
      <c r="BP15" s="41">
        <f t="shared" si="34"/>
        <v>0</v>
      </c>
      <c r="BQ15" s="3"/>
      <c r="BR15" s="56">
        <v>0</v>
      </c>
      <c r="BS15" s="3">
        <v>0</v>
      </c>
      <c r="BT15" s="3">
        <v>0</v>
      </c>
      <c r="BU15" s="41">
        <f>AL15</f>
        <v>0.16352278000000001</v>
      </c>
      <c r="BV15" s="123">
        <f t="shared" si="2"/>
        <v>0</v>
      </c>
      <c r="BW15" s="113">
        <f t="shared" si="3"/>
        <v>0</v>
      </c>
      <c r="BX15" s="113">
        <f t="shared" si="4"/>
        <v>0</v>
      </c>
      <c r="BY15" s="113">
        <f t="shared" si="5"/>
        <v>0</v>
      </c>
      <c r="BZ15" s="124" t="e">
        <f t="shared" si="6"/>
        <v>#DIV/0!</v>
      </c>
      <c r="CA15" s="125" t="e">
        <f t="shared" si="7"/>
        <v>#DIV/0!</v>
      </c>
    </row>
    <row r="16" spans="1:84" s="27" customFormat="1">
      <c r="A16" s="3" t="s">
        <v>46</v>
      </c>
      <c r="B16" t="s">
        <v>179</v>
      </c>
      <c r="C16" t="s">
        <v>223</v>
      </c>
      <c r="D16" s="9" t="s">
        <v>122</v>
      </c>
      <c r="E16" s="1" t="s">
        <v>122</v>
      </c>
      <c r="F16" s="1" t="s">
        <v>122</v>
      </c>
      <c r="G16" s="1" t="s">
        <v>122</v>
      </c>
      <c r="H16" s="1"/>
      <c r="I16" s="1"/>
      <c r="J16" s="18"/>
      <c r="K16" s="16"/>
      <c r="L16" s="16"/>
      <c r="M16" s="16"/>
      <c r="N16" s="16"/>
      <c r="O16" s="16"/>
      <c r="P16" s="39">
        <f t="shared" si="8"/>
        <v>1222.3960669440003</v>
      </c>
      <c r="Q16" s="40">
        <f>'[2]BCH EE Plan'!$I$90</f>
        <v>1222.3960669440003</v>
      </c>
      <c r="R16" s="49">
        <v>0</v>
      </c>
      <c r="S16" s="49">
        <v>1</v>
      </c>
      <c r="T16" s="33">
        <f t="shared" si="9"/>
        <v>0</v>
      </c>
      <c r="U16" s="16"/>
      <c r="V16" s="16"/>
      <c r="W16" s="16"/>
      <c r="X16" s="16"/>
      <c r="Y16" s="16"/>
      <c r="Z16" s="16"/>
      <c r="AA16" s="11">
        <f t="shared" si="10"/>
        <v>106.39606694400031</v>
      </c>
      <c r="AB16" s="40">
        <f>'[2]BCH EE Plan'!$G$90</f>
        <v>106.39606694400031</v>
      </c>
      <c r="AC16" s="49">
        <v>0</v>
      </c>
      <c r="AD16" s="49">
        <v>1</v>
      </c>
      <c r="AE16" s="33">
        <f t="shared" si="11"/>
        <v>0</v>
      </c>
      <c r="AF16" s="8"/>
      <c r="AG16"/>
      <c r="AH16"/>
      <c r="AI16"/>
      <c r="AJ16"/>
      <c r="AK16"/>
      <c r="AL16" s="11">
        <f t="shared" si="12"/>
        <v>2.0225119900000004</v>
      </c>
      <c r="AM16" s="41">
        <f>'[2]BCH EE Plan'!$G$91/1000</f>
        <v>2.0225119900000004</v>
      </c>
      <c r="AN16" s="45"/>
      <c r="AO16" s="9" t="str">
        <f t="shared" si="13"/>
        <v>Yes</v>
      </c>
      <c r="AP16" s="48" t="str">
        <f t="shared" si="14"/>
        <v>No</v>
      </c>
      <c r="AQ16" s="51">
        <f t="shared" si="15"/>
        <v>925.06524731586489</v>
      </c>
      <c r="AR16" s="52">
        <f t="shared" si="16"/>
        <v>84.838631037293851</v>
      </c>
      <c r="AS16" s="52">
        <f t="shared" si="17"/>
        <v>195.20444625563587</v>
      </c>
      <c r="AT16" s="52">
        <f t="shared" si="18"/>
        <v>17.287742335205909</v>
      </c>
      <c r="AU16" s="52">
        <f t="shared" si="19"/>
        <v>0</v>
      </c>
      <c r="AV16" s="52">
        <f t="shared" si="20"/>
        <v>0</v>
      </c>
      <c r="AW16" s="52">
        <f t="shared" si="21"/>
        <v>1222.3960669440005</v>
      </c>
      <c r="AX16" s="49">
        <f t="shared" si="22"/>
        <v>0</v>
      </c>
      <c r="AY16" s="53">
        <f t="shared" si="23"/>
        <v>1</v>
      </c>
      <c r="AZ16" s="51">
        <f t="shared" si="24"/>
        <v>80.516705380970336</v>
      </c>
      <c r="BA16" s="52">
        <f t="shared" si="25"/>
        <v>7.3842651423507695</v>
      </c>
      <c r="BB16" s="52">
        <f t="shared" si="26"/>
        <v>16.990389525306451</v>
      </c>
      <c r="BC16" s="52">
        <f t="shared" si="27"/>
        <v>1.5047068953727738</v>
      </c>
      <c r="BD16" s="52">
        <f t="shared" si="28"/>
        <v>0</v>
      </c>
      <c r="BE16" s="52">
        <f t="shared" si="29"/>
        <v>0</v>
      </c>
      <c r="BF16" s="52">
        <f t="shared" si="30"/>
        <v>106.39606694400034</v>
      </c>
      <c r="BG16" s="49">
        <f t="shared" si="31"/>
        <v>0</v>
      </c>
      <c r="BH16" s="49">
        <f t="shared" si="32"/>
        <v>1</v>
      </c>
      <c r="BI16" s="100">
        <f>BI$52/SUM($BI$52:$BL$52)</f>
        <v>0.75676392646495927</v>
      </c>
      <c r="BJ16" s="49">
        <f>BJ52/SUM($BI$52:$BL$52)</f>
        <v>6.9403553669303841E-2</v>
      </c>
      <c r="BK16" s="49">
        <f>BK52/SUM($BI$52:$BL$52)</f>
        <v>0.15969001499133462</v>
      </c>
      <c r="BL16" s="49">
        <f>BL52/SUM($BI$52:$BL$52)</f>
        <v>1.414250487440245E-2</v>
      </c>
      <c r="BM16" s="49"/>
      <c r="BN16" s="49"/>
      <c r="BO16" s="41">
        <f>'[2]BCH EE Plan'!$I$90</f>
        <v>1222.3960669440003</v>
      </c>
      <c r="BP16" s="41">
        <f>'[2]BCH EE Plan'!$G$90</f>
        <v>106.39606694400031</v>
      </c>
      <c r="BQ16" s="40" t="s">
        <v>87</v>
      </c>
      <c r="BR16" s="65">
        <f>'[2]BCH EE Plan'!D$91/1000</f>
        <v>7.5279999999999996</v>
      </c>
      <c r="BS16" s="40">
        <f>'[2]BCH EE Plan'!E$91/1000</f>
        <v>13.316000000000001</v>
      </c>
      <c r="BT16" s="40">
        <f>'[2]BCH EE Plan'!F$91/1000</f>
        <v>4.0469999999999997</v>
      </c>
      <c r="BU16" s="41">
        <f>'[2]BCH EE Plan'!G$91/1000</f>
        <v>2.0225119900000004</v>
      </c>
      <c r="BV16" s="123">
        <f t="shared" si="2"/>
        <v>2127.9213388800063</v>
      </c>
      <c r="BW16" s="113">
        <f t="shared" si="3"/>
        <v>1220.3545058128793</v>
      </c>
      <c r="BX16" s="113">
        <f t="shared" si="4"/>
        <v>212792.13388800062</v>
      </c>
      <c r="BY16" s="113">
        <f t="shared" si="5"/>
        <v>122035.45058128794</v>
      </c>
      <c r="BZ16" s="124">
        <f t="shared" si="6"/>
        <v>1.6573151329111562</v>
      </c>
      <c r="CA16" s="125">
        <f t="shared" si="7"/>
        <v>16.57315132911156</v>
      </c>
    </row>
    <row r="17" spans="1:79" s="27" customFormat="1">
      <c r="A17" s="3" t="s">
        <v>64</v>
      </c>
      <c r="B17" t="s">
        <v>179</v>
      </c>
      <c r="C17" t="s">
        <v>223</v>
      </c>
      <c r="D17" s="9" t="s">
        <v>122</v>
      </c>
      <c r="E17" s="1"/>
      <c r="F17" s="1"/>
      <c r="G17" s="1"/>
      <c r="H17" s="1"/>
      <c r="I17" s="1"/>
      <c r="J17" s="18">
        <f>'[2]BCH EE Plan'!$I$65</f>
        <v>17.043480828</v>
      </c>
      <c r="K17" s="11"/>
      <c r="L17" s="11"/>
      <c r="M17" s="11"/>
      <c r="N17" s="11"/>
      <c r="O17" s="11"/>
      <c r="P17" s="39">
        <f t="shared" si="8"/>
        <v>17.043480828</v>
      </c>
      <c r="Q17" s="40"/>
      <c r="R17" s="49">
        <v>0</v>
      </c>
      <c r="S17" s="49">
        <v>1</v>
      </c>
      <c r="T17" s="33">
        <f t="shared" si="9"/>
        <v>0</v>
      </c>
      <c r="U17" s="16">
        <f>'[2]BCH EE Plan'!$G$65</f>
        <v>2.6434808279999991</v>
      </c>
      <c r="V17" s="16"/>
      <c r="W17" s="16"/>
      <c r="X17" s="16"/>
      <c r="Y17" s="16"/>
      <c r="Z17" s="16"/>
      <c r="AA17" s="11">
        <f t="shared" si="10"/>
        <v>2.6434808279999991</v>
      </c>
      <c r="AB17" s="40"/>
      <c r="AC17" s="49">
        <v>0</v>
      </c>
      <c r="AD17" s="49">
        <v>1</v>
      </c>
      <c r="AE17" s="33">
        <f t="shared" si="11"/>
        <v>0</v>
      </c>
      <c r="AF17" s="8"/>
      <c r="AG17"/>
      <c r="AH17"/>
      <c r="AI17"/>
      <c r="AJ17"/>
      <c r="AK17"/>
      <c r="AL17" s="11">
        <f t="shared" si="12"/>
        <v>0.30599999999999999</v>
      </c>
      <c r="AM17" s="41">
        <f>'[2]BCH EE Plan'!$G$66/1000</f>
        <v>0.30599999999999999</v>
      </c>
      <c r="AN17" s="45"/>
      <c r="AO17" s="9" t="str">
        <f t="shared" si="13"/>
        <v>No</v>
      </c>
      <c r="AP17" s="48" t="str">
        <f t="shared" si="14"/>
        <v>No</v>
      </c>
      <c r="AQ17" s="51">
        <f t="shared" si="15"/>
        <v>17.043480828</v>
      </c>
      <c r="AR17" s="52">
        <f t="shared" si="16"/>
        <v>0</v>
      </c>
      <c r="AS17" s="52">
        <f t="shared" si="17"/>
        <v>0</v>
      </c>
      <c r="AT17" s="52">
        <f t="shared" si="18"/>
        <v>0</v>
      </c>
      <c r="AU17" s="52">
        <f t="shared" si="19"/>
        <v>0</v>
      </c>
      <c r="AV17" s="52">
        <f t="shared" si="20"/>
        <v>0</v>
      </c>
      <c r="AW17" s="52">
        <f t="shared" si="21"/>
        <v>17.043480828</v>
      </c>
      <c r="AX17" s="49">
        <f t="shared" si="22"/>
        <v>0</v>
      </c>
      <c r="AY17" s="53">
        <f t="shared" si="23"/>
        <v>1</v>
      </c>
      <c r="AZ17" s="51">
        <f t="shared" si="24"/>
        <v>2.6434808279999991</v>
      </c>
      <c r="BA17" s="52">
        <f t="shared" si="25"/>
        <v>0</v>
      </c>
      <c r="BB17" s="52">
        <f t="shared" si="26"/>
        <v>0</v>
      </c>
      <c r="BC17" s="52">
        <f t="shared" si="27"/>
        <v>0</v>
      </c>
      <c r="BD17" s="52">
        <f t="shared" si="28"/>
        <v>0</v>
      </c>
      <c r="BE17" s="52">
        <f t="shared" si="29"/>
        <v>0</v>
      </c>
      <c r="BF17" s="52">
        <f t="shared" si="30"/>
        <v>2.6434808279999991</v>
      </c>
      <c r="BG17" s="49">
        <f t="shared" si="31"/>
        <v>0</v>
      </c>
      <c r="BH17" s="49">
        <f t="shared" si="32"/>
        <v>1</v>
      </c>
      <c r="BI17" s="100"/>
      <c r="BJ17" s="49"/>
      <c r="BK17" s="49"/>
      <c r="BL17" s="49"/>
      <c r="BM17" s="49"/>
      <c r="BN17" s="49"/>
      <c r="BO17" s="41">
        <f t="shared" ref="BO17:BO35" si="37">Q17</f>
        <v>0</v>
      </c>
      <c r="BP17" s="41">
        <f t="shared" ref="BP17:BP50" si="38">AB17</f>
        <v>0</v>
      </c>
      <c r="BQ17" s="40"/>
      <c r="BR17" s="66">
        <f>'[2]BCH EE Plan'!D$66/1000</f>
        <v>0.26700000000000002</v>
      </c>
      <c r="BS17" s="41">
        <f>'[2]BCH EE Plan'!E$66/1000</f>
        <v>0.44800000000000001</v>
      </c>
      <c r="BT17" s="41">
        <f>'[2]BCH EE Plan'!F$66/1000</f>
        <v>0.35399999999999998</v>
      </c>
      <c r="BU17" s="41">
        <f>'[2]BCH EE Plan'!G$66/1000</f>
        <v>0.30599999999999999</v>
      </c>
      <c r="BV17" s="123">
        <f t="shared" si="2"/>
        <v>52.869616559999983</v>
      </c>
      <c r="BW17" s="113">
        <f t="shared" si="3"/>
        <v>30.320516839947658</v>
      </c>
      <c r="BX17" s="113">
        <f t="shared" si="4"/>
        <v>5286.9616559999986</v>
      </c>
      <c r="BY17" s="113">
        <f t="shared" si="5"/>
        <v>3032.0516839947659</v>
      </c>
      <c r="BZ17" s="124">
        <f t="shared" si="6"/>
        <v>10.092176251983977</v>
      </c>
      <c r="CA17" s="125">
        <f t="shared" si="7"/>
        <v>100.92176251983976</v>
      </c>
    </row>
    <row r="18" spans="1:79" s="27" customFormat="1">
      <c r="A18" s="3" t="s">
        <v>19</v>
      </c>
      <c r="B18" t="s">
        <v>179</v>
      </c>
      <c r="C18" t="s">
        <v>223</v>
      </c>
      <c r="D18" s="9"/>
      <c r="E18" s="1" t="s">
        <v>122</v>
      </c>
      <c r="F18" s="1"/>
      <c r="G18" s="1"/>
      <c r="H18" s="1"/>
      <c r="I18" s="1"/>
      <c r="J18" s="18"/>
      <c r="K18" s="11">
        <f>'[2]BCH EE Plan'!$I$60</f>
        <v>85.460399674742831</v>
      </c>
      <c r="L18" s="11"/>
      <c r="M18" s="11"/>
      <c r="N18" s="11"/>
      <c r="O18" s="11"/>
      <c r="P18" s="39">
        <f t="shared" si="8"/>
        <v>85.460399674742831</v>
      </c>
      <c r="Q18" s="40"/>
      <c r="R18" s="49">
        <v>0</v>
      </c>
      <c r="S18" s="49">
        <v>1</v>
      </c>
      <c r="T18" s="33">
        <f t="shared" si="9"/>
        <v>0</v>
      </c>
      <c r="U18" s="16"/>
      <c r="V18" s="16">
        <f>'[2]BCH EE Plan'!$G$60</f>
        <v>20.66039967474283</v>
      </c>
      <c r="W18" s="16"/>
      <c r="X18" s="16"/>
      <c r="Y18" s="16"/>
      <c r="Z18" s="16"/>
      <c r="AA18" s="11">
        <f t="shared" si="10"/>
        <v>20.66039967474283</v>
      </c>
      <c r="AB18" s="40"/>
      <c r="AC18" s="49">
        <v>0</v>
      </c>
      <c r="AD18" s="49">
        <v>1</v>
      </c>
      <c r="AE18" s="33">
        <f t="shared" si="11"/>
        <v>0</v>
      </c>
      <c r="AF18" s="8"/>
      <c r="AG18"/>
      <c r="AH18"/>
      <c r="AI18"/>
      <c r="AJ18"/>
      <c r="AK18"/>
      <c r="AL18" s="11">
        <f t="shared" si="12"/>
        <v>0.25395716000000002</v>
      </c>
      <c r="AM18" s="41">
        <f>'[2]BCH EE Plan'!$G$61/1000</f>
        <v>0.25395716000000002</v>
      </c>
      <c r="AN18" s="45"/>
      <c r="AO18" s="9" t="str">
        <f t="shared" si="13"/>
        <v>No</v>
      </c>
      <c r="AP18" s="48" t="str">
        <f t="shared" si="14"/>
        <v>No</v>
      </c>
      <c r="AQ18" s="51">
        <f t="shared" si="15"/>
        <v>0</v>
      </c>
      <c r="AR18" s="52">
        <f t="shared" si="16"/>
        <v>85.460399674742831</v>
      </c>
      <c r="AS18" s="52">
        <f t="shared" si="17"/>
        <v>0</v>
      </c>
      <c r="AT18" s="52">
        <f t="shared" si="18"/>
        <v>0</v>
      </c>
      <c r="AU18" s="52">
        <f t="shared" si="19"/>
        <v>0</v>
      </c>
      <c r="AV18" s="52">
        <f t="shared" si="20"/>
        <v>0</v>
      </c>
      <c r="AW18" s="52">
        <f t="shared" si="21"/>
        <v>85.460399674742831</v>
      </c>
      <c r="AX18" s="49">
        <f t="shared" si="22"/>
        <v>0</v>
      </c>
      <c r="AY18" s="53">
        <f t="shared" si="23"/>
        <v>1</v>
      </c>
      <c r="AZ18" s="51">
        <f t="shared" si="24"/>
        <v>0</v>
      </c>
      <c r="BA18" s="52">
        <f t="shared" si="25"/>
        <v>20.66039967474283</v>
      </c>
      <c r="BB18" s="52">
        <f t="shared" si="26"/>
        <v>0</v>
      </c>
      <c r="BC18" s="52">
        <f t="shared" si="27"/>
        <v>0</v>
      </c>
      <c r="BD18" s="52">
        <f t="shared" si="28"/>
        <v>0</v>
      </c>
      <c r="BE18" s="52">
        <f t="shared" si="29"/>
        <v>0</v>
      </c>
      <c r="BF18" s="52">
        <f t="shared" si="30"/>
        <v>20.66039967474283</v>
      </c>
      <c r="BG18" s="49">
        <f t="shared" si="31"/>
        <v>0</v>
      </c>
      <c r="BH18" s="49">
        <f t="shared" si="32"/>
        <v>1</v>
      </c>
      <c r="BI18" s="100"/>
      <c r="BJ18" s="49"/>
      <c r="BK18" s="49"/>
      <c r="BL18" s="49"/>
      <c r="BM18" s="49"/>
      <c r="BN18" s="49"/>
      <c r="BO18" s="41">
        <f t="shared" si="37"/>
        <v>0</v>
      </c>
      <c r="BP18" s="41">
        <f t="shared" si="38"/>
        <v>0</v>
      </c>
      <c r="BQ18" s="3"/>
      <c r="BR18" s="65">
        <f>'[2]BCH EE Plan'!D$61/1000</f>
        <v>0.377</v>
      </c>
      <c r="BS18" s="40">
        <f>'[2]BCH EE Plan'!E$61/1000</f>
        <v>0.309</v>
      </c>
      <c r="BT18" s="40">
        <f>'[2]BCH EE Plan'!F$61/1000</f>
        <v>0.40500000000000003</v>
      </c>
      <c r="BU18" s="41">
        <f>'[2]BCH EE Plan'!G$61/1000</f>
        <v>0.25395716000000002</v>
      </c>
      <c r="BV18" s="123">
        <f t="shared" si="2"/>
        <v>413.20799349485662</v>
      </c>
      <c r="BW18" s="113">
        <f t="shared" si="3"/>
        <v>236.97315661337163</v>
      </c>
      <c r="BX18" s="113">
        <f t="shared" si="4"/>
        <v>41320.799349485664</v>
      </c>
      <c r="BY18" s="113">
        <f t="shared" si="5"/>
        <v>23697.315661337161</v>
      </c>
      <c r="BZ18" s="124">
        <f t="shared" si="6"/>
        <v>1.0716705791885881</v>
      </c>
      <c r="CA18" s="125">
        <f t="shared" si="7"/>
        <v>10.716705791885882</v>
      </c>
    </row>
    <row r="19" spans="1:79" s="27" customFormat="1">
      <c r="A19" s="3" t="s">
        <v>48</v>
      </c>
      <c r="B19" t="s">
        <v>179</v>
      </c>
      <c r="C19" t="s">
        <v>223</v>
      </c>
      <c r="D19" s="36" t="s">
        <v>122</v>
      </c>
      <c r="E19" s="2" t="s">
        <v>122</v>
      </c>
      <c r="F19" s="2"/>
      <c r="G19" s="2"/>
      <c r="H19" s="2"/>
      <c r="I19" s="2"/>
      <c r="J19" s="18"/>
      <c r="K19" s="16"/>
      <c r="L19" s="16"/>
      <c r="M19" s="16"/>
      <c r="N19" s="16"/>
      <c r="O19" s="16"/>
      <c r="P19" s="39">
        <f t="shared" si="8"/>
        <v>9.7929100079999998</v>
      </c>
      <c r="Q19" s="40">
        <f>'[2]BCH EE Plan'!$I$70</f>
        <v>9.7929100079999998</v>
      </c>
      <c r="R19" s="49">
        <v>0</v>
      </c>
      <c r="S19" s="49">
        <v>1</v>
      </c>
      <c r="T19" s="33">
        <f t="shared" si="9"/>
        <v>0</v>
      </c>
      <c r="U19" s="16"/>
      <c r="V19" s="16"/>
      <c r="W19" s="16"/>
      <c r="X19" s="16"/>
      <c r="Y19" s="16"/>
      <c r="Z19" s="16"/>
      <c r="AA19" s="11">
        <f t="shared" si="10"/>
        <v>2.5929100079999996</v>
      </c>
      <c r="AB19" s="40">
        <f>'[2]BCH EE Plan'!$G$70</f>
        <v>2.5929100079999996</v>
      </c>
      <c r="AC19" s="49">
        <v>0</v>
      </c>
      <c r="AD19" s="49">
        <v>1</v>
      </c>
      <c r="AE19" s="33">
        <f t="shared" si="11"/>
        <v>0</v>
      </c>
      <c r="AF19" s="8"/>
      <c r="AG19"/>
      <c r="AH19"/>
      <c r="AI19"/>
      <c r="AJ19"/>
      <c r="AK19"/>
      <c r="AL19" s="11">
        <f t="shared" si="12"/>
        <v>0.11975372000000001</v>
      </c>
      <c r="AM19" s="41">
        <f>'[2]BCH EE Plan'!$G$71/1000</f>
        <v>0.11975372000000001</v>
      </c>
      <c r="AN19" s="45"/>
      <c r="AO19" s="9" t="str">
        <f t="shared" si="13"/>
        <v>Yes</v>
      </c>
      <c r="AP19" s="48" t="str">
        <f t="shared" si="14"/>
        <v>No</v>
      </c>
      <c r="AQ19" s="51">
        <f t="shared" si="15"/>
        <v>9.5647581638289676</v>
      </c>
      <c r="AR19" s="52">
        <f t="shared" si="16"/>
        <v>0.22815184417103204</v>
      </c>
      <c r="AS19" s="52">
        <f t="shared" si="17"/>
        <v>0</v>
      </c>
      <c r="AT19" s="52">
        <f t="shared" si="18"/>
        <v>0</v>
      </c>
      <c r="AU19" s="52">
        <f t="shared" si="19"/>
        <v>0</v>
      </c>
      <c r="AV19" s="52">
        <f t="shared" si="20"/>
        <v>0</v>
      </c>
      <c r="AW19" s="52">
        <f t="shared" si="21"/>
        <v>9.7929100079999998</v>
      </c>
      <c r="AX19" s="49">
        <f t="shared" si="22"/>
        <v>0</v>
      </c>
      <c r="AY19" s="53">
        <f t="shared" si="23"/>
        <v>1</v>
      </c>
      <c r="AZ19" s="51">
        <f t="shared" si="24"/>
        <v>2.5325012837687493</v>
      </c>
      <c r="BA19" s="52">
        <f t="shared" si="25"/>
        <v>6.0408724231250523E-2</v>
      </c>
      <c r="BB19" s="52">
        <f t="shared" si="26"/>
        <v>0</v>
      </c>
      <c r="BC19" s="52">
        <f t="shared" si="27"/>
        <v>0</v>
      </c>
      <c r="BD19" s="52">
        <f t="shared" si="28"/>
        <v>0</v>
      </c>
      <c r="BE19" s="52">
        <f t="shared" si="29"/>
        <v>0</v>
      </c>
      <c r="BF19" s="52">
        <f t="shared" si="30"/>
        <v>2.5929100079999996</v>
      </c>
      <c r="BG19" s="49">
        <f t="shared" si="31"/>
        <v>0</v>
      </c>
      <c r="BH19" s="49">
        <f t="shared" si="32"/>
        <v>1</v>
      </c>
      <c r="BI19" s="100">
        <f>J36/(J36+K37)</f>
        <v>0.97670234445280812</v>
      </c>
      <c r="BJ19" s="49">
        <f>1-BI19</f>
        <v>2.3297655547191876E-2</v>
      </c>
      <c r="BK19" s="49"/>
      <c r="BL19" s="49"/>
      <c r="BM19" s="49"/>
      <c r="BN19" s="49"/>
      <c r="BO19" s="41">
        <f t="shared" si="37"/>
        <v>9.7929100079999998</v>
      </c>
      <c r="BP19" s="41">
        <f t="shared" si="38"/>
        <v>2.5929100079999996</v>
      </c>
      <c r="BQ19" s="40" t="s">
        <v>89</v>
      </c>
      <c r="BR19" s="65">
        <f>'[2]BCH EE Plan'!D$71/1000</f>
        <v>0</v>
      </c>
      <c r="BS19" s="40">
        <f>'[2]BCH EE Plan'!E$71/1000</f>
        <v>0.112</v>
      </c>
      <c r="BT19" s="40">
        <f>'[2]BCH EE Plan'!F$71/1000</f>
        <v>1.6E-2</v>
      </c>
      <c r="BU19" s="41">
        <f>'[2]BCH EE Plan'!G$71/1000</f>
        <v>0.11975372000000001</v>
      </c>
      <c r="BV19" s="123">
        <f t="shared" si="2"/>
        <v>51.858200159999996</v>
      </c>
      <c r="BW19" s="113">
        <f t="shared" si="3"/>
        <v>29.740473518589422</v>
      </c>
      <c r="BX19" s="113">
        <f t="shared" si="4"/>
        <v>5185.8200159999997</v>
      </c>
      <c r="BY19" s="113">
        <f t="shared" si="5"/>
        <v>2974.047351858942</v>
      </c>
      <c r="BZ19" s="124">
        <f t="shared" si="6"/>
        <v>4.0266245231484765</v>
      </c>
      <c r="CA19" s="125">
        <f t="shared" si="7"/>
        <v>40.26624523148476</v>
      </c>
    </row>
    <row r="20" spans="1:79" s="27" customFormat="1">
      <c r="A20" s="3" t="s">
        <v>135</v>
      </c>
      <c r="B20" t="s">
        <v>179</v>
      </c>
      <c r="C20" t="s">
        <v>223</v>
      </c>
      <c r="D20" s="36" t="s">
        <v>122</v>
      </c>
      <c r="E20" s="2"/>
      <c r="F20" s="2" t="s">
        <v>122</v>
      </c>
      <c r="G20" s="2"/>
      <c r="H20" s="2"/>
      <c r="I20" s="2"/>
      <c r="J20" s="18"/>
      <c r="K20" s="16"/>
      <c r="L20" s="16"/>
      <c r="M20" s="16"/>
      <c r="N20" s="16"/>
      <c r="O20" s="16"/>
      <c r="P20" s="39">
        <f t="shared" si="8"/>
        <v>307.99904686649995</v>
      </c>
      <c r="Q20" s="40">
        <f>'[2]BCH EE Plan'!$I$80</f>
        <v>307.99904686649995</v>
      </c>
      <c r="R20" s="49">
        <v>0</v>
      </c>
      <c r="S20" s="49">
        <v>1</v>
      </c>
      <c r="T20" s="33">
        <f t="shared" si="9"/>
        <v>0</v>
      </c>
      <c r="U20" s="16"/>
      <c r="V20" s="16"/>
      <c r="W20" s="16"/>
      <c r="X20" s="16"/>
      <c r="Y20" s="16"/>
      <c r="Z20" s="16"/>
      <c r="AA20" s="11">
        <f t="shared" si="10"/>
        <v>95.599046866499918</v>
      </c>
      <c r="AB20" s="40">
        <f>'[2]BCH EE Plan'!$G$80</f>
        <v>95.599046866499918</v>
      </c>
      <c r="AC20" s="49">
        <v>0</v>
      </c>
      <c r="AD20" s="49">
        <v>1</v>
      </c>
      <c r="AE20" s="33">
        <f t="shared" si="11"/>
        <v>0</v>
      </c>
      <c r="AF20" s="8"/>
      <c r="AG20"/>
      <c r="AH20"/>
      <c r="AI20"/>
      <c r="AJ20"/>
      <c r="AK20"/>
      <c r="AL20" s="11">
        <f t="shared" si="12"/>
        <v>3.6266280200000001</v>
      </c>
      <c r="AM20" s="41">
        <f>'[2]BCH EE Plan'!$G$81/1000</f>
        <v>3.6266280200000001</v>
      </c>
      <c r="AN20" s="45"/>
      <c r="AO20" s="9" t="str">
        <f t="shared" si="13"/>
        <v>Yes</v>
      </c>
      <c r="AP20" s="48" t="str">
        <f t="shared" si="14"/>
        <v>No</v>
      </c>
      <c r="AQ20" s="51">
        <f t="shared" si="15"/>
        <v>307.99904686649995</v>
      </c>
      <c r="AR20" s="52">
        <f t="shared" si="16"/>
        <v>0</v>
      </c>
      <c r="AS20" s="52">
        <f t="shared" si="17"/>
        <v>0</v>
      </c>
      <c r="AT20" s="52">
        <f t="shared" si="18"/>
        <v>0</v>
      </c>
      <c r="AU20" s="52">
        <f t="shared" si="19"/>
        <v>0</v>
      </c>
      <c r="AV20" s="52">
        <f t="shared" si="20"/>
        <v>0</v>
      </c>
      <c r="AW20" s="52">
        <f t="shared" si="21"/>
        <v>307.99904686649995</v>
      </c>
      <c r="AX20" s="49">
        <f t="shared" si="22"/>
        <v>0</v>
      </c>
      <c r="AY20" s="53">
        <f t="shared" si="23"/>
        <v>1</v>
      </c>
      <c r="AZ20" s="51">
        <f t="shared" si="24"/>
        <v>95.599046866499918</v>
      </c>
      <c r="BA20" s="52">
        <f t="shared" si="25"/>
        <v>0</v>
      </c>
      <c r="BB20" s="52">
        <f t="shared" si="26"/>
        <v>0</v>
      </c>
      <c r="BC20" s="52">
        <f t="shared" si="27"/>
        <v>0</v>
      </c>
      <c r="BD20" s="52">
        <f t="shared" si="28"/>
        <v>0</v>
      </c>
      <c r="BE20" s="52">
        <f t="shared" si="29"/>
        <v>0</v>
      </c>
      <c r="BF20" s="52">
        <f t="shared" si="30"/>
        <v>95.599046866499918</v>
      </c>
      <c r="BG20" s="49">
        <f t="shared" si="31"/>
        <v>0</v>
      </c>
      <c r="BH20" s="49">
        <f t="shared" si="32"/>
        <v>1</v>
      </c>
      <c r="BI20" s="100">
        <v>1</v>
      </c>
      <c r="BJ20" s="49"/>
      <c r="BK20" s="49">
        <f>1-BI20</f>
        <v>0</v>
      </c>
      <c r="BL20" s="49"/>
      <c r="BM20" s="49"/>
      <c r="BN20" s="49"/>
      <c r="BO20" s="41">
        <f t="shared" si="37"/>
        <v>307.99904686649995</v>
      </c>
      <c r="BP20" s="41">
        <f t="shared" si="38"/>
        <v>95.599046866499918</v>
      </c>
      <c r="BQ20" s="40" t="s">
        <v>90</v>
      </c>
      <c r="BR20" s="65">
        <f>'[2]BCH EE Plan'!D$81/1000</f>
        <v>1.1639999999999999</v>
      </c>
      <c r="BS20" s="40">
        <f>'[2]BCH EE Plan'!E$81/1000</f>
        <v>3.3159999999999998</v>
      </c>
      <c r="BT20" s="40">
        <f>'[2]BCH EE Plan'!F$81/1000</f>
        <v>4.8970000000000002</v>
      </c>
      <c r="BU20" s="41">
        <f>'[2]BCH EE Plan'!G$81/1000</f>
        <v>3.6266280200000001</v>
      </c>
      <c r="BV20" s="123">
        <f t="shared" si="2"/>
        <v>1911.9809373299984</v>
      </c>
      <c r="BW20" s="113">
        <f t="shared" si="3"/>
        <v>1096.5135361286825</v>
      </c>
      <c r="BX20" s="113">
        <f t="shared" si="4"/>
        <v>191198.09373299984</v>
      </c>
      <c r="BY20" s="113">
        <f t="shared" si="5"/>
        <v>109651.35361286825</v>
      </c>
      <c r="BZ20" s="124">
        <f t="shared" si="6"/>
        <v>3.3074174649991672</v>
      </c>
      <c r="CA20" s="125">
        <f t="shared" si="7"/>
        <v>33.074174649991676</v>
      </c>
    </row>
    <row r="21" spans="1:79" s="27" customFormat="1">
      <c r="A21" s="3" t="s">
        <v>50</v>
      </c>
      <c r="B21" t="s">
        <v>179</v>
      </c>
      <c r="C21" t="s">
        <v>223</v>
      </c>
      <c r="D21" s="36" t="s">
        <v>122</v>
      </c>
      <c r="E21" s="2" t="s">
        <v>122</v>
      </c>
      <c r="F21" s="2" t="s">
        <v>122</v>
      </c>
      <c r="G21" s="2" t="s">
        <v>122</v>
      </c>
      <c r="H21" s="2"/>
      <c r="I21" s="2"/>
      <c r="J21" s="18"/>
      <c r="K21" s="16"/>
      <c r="L21" s="16"/>
      <c r="M21" s="16"/>
      <c r="N21" s="16"/>
      <c r="O21" s="16"/>
      <c r="P21" s="39">
        <f t="shared" si="8"/>
        <v>83.883486987000012</v>
      </c>
      <c r="Q21" s="40">
        <f>'[2]BCH EE Plan'!$I$85</f>
        <v>83.883486987000012</v>
      </c>
      <c r="R21" s="49">
        <v>0</v>
      </c>
      <c r="S21" s="49">
        <v>1</v>
      </c>
      <c r="T21" s="33">
        <f t="shared" si="9"/>
        <v>0</v>
      </c>
      <c r="U21" s="16"/>
      <c r="V21" s="16"/>
      <c r="W21" s="16"/>
      <c r="X21" s="16"/>
      <c r="Y21" s="16"/>
      <c r="Z21" s="16"/>
      <c r="AA21" s="11">
        <f t="shared" si="10"/>
        <v>8.2834869870000123</v>
      </c>
      <c r="AB21" s="40">
        <f>'[2]BCH EE Plan'!$G$85</f>
        <v>8.2834869870000123</v>
      </c>
      <c r="AC21" s="49">
        <v>0</v>
      </c>
      <c r="AD21" s="49">
        <v>1</v>
      </c>
      <c r="AE21" s="33">
        <f t="shared" si="11"/>
        <v>0</v>
      </c>
      <c r="AF21" s="8"/>
      <c r="AG21"/>
      <c r="AH21"/>
      <c r="AI21"/>
      <c r="AJ21"/>
      <c r="AK21"/>
      <c r="AL21" s="11">
        <f t="shared" si="12"/>
        <v>1.0896131900000001</v>
      </c>
      <c r="AM21" s="41">
        <f>'[2]BCH EE Plan'!$G$86/1000</f>
        <v>1.0896131900000001</v>
      </c>
      <c r="AN21" s="45"/>
      <c r="AO21" s="9" t="str">
        <f t="shared" si="13"/>
        <v>Yes</v>
      </c>
      <c r="AP21" s="48" t="str">
        <f t="shared" si="14"/>
        <v>No</v>
      </c>
      <c r="AQ21" s="51">
        <f t="shared" si="15"/>
        <v>63.479996977854448</v>
      </c>
      <c r="AR21" s="52">
        <f t="shared" si="16"/>
        <v>5.8218120910706057</v>
      </c>
      <c r="AS21" s="52">
        <f t="shared" si="17"/>
        <v>13.395355294479454</v>
      </c>
      <c r="AT21" s="52">
        <f t="shared" si="18"/>
        <v>1.1863226235955222</v>
      </c>
      <c r="AU21" s="52">
        <f t="shared" si="19"/>
        <v>0</v>
      </c>
      <c r="AV21" s="52">
        <f t="shared" si="20"/>
        <v>0</v>
      </c>
      <c r="AW21" s="52">
        <f t="shared" si="21"/>
        <v>83.883486987000026</v>
      </c>
      <c r="AX21" s="49">
        <f t="shared" si="22"/>
        <v>0</v>
      </c>
      <c r="AY21" s="53">
        <f t="shared" si="23"/>
        <v>1</v>
      </c>
      <c r="AZ21" s="51">
        <f t="shared" si="24"/>
        <v>6.2686441371035242</v>
      </c>
      <c r="BA21" s="52">
        <f t="shared" si="25"/>
        <v>0.57490343367123531</v>
      </c>
      <c r="BB21" s="52">
        <f t="shared" si="26"/>
        <v>1.3227901611345572</v>
      </c>
      <c r="BC21" s="52">
        <f t="shared" si="27"/>
        <v>0.11714925509069694</v>
      </c>
      <c r="BD21" s="52">
        <f t="shared" si="28"/>
        <v>0</v>
      </c>
      <c r="BE21" s="52">
        <f t="shared" si="29"/>
        <v>0</v>
      </c>
      <c r="BF21" s="52">
        <f t="shared" si="30"/>
        <v>8.2834869870000141</v>
      </c>
      <c r="BG21" s="49">
        <f t="shared" si="31"/>
        <v>0</v>
      </c>
      <c r="BH21" s="49">
        <f t="shared" si="32"/>
        <v>1</v>
      </c>
      <c r="BI21" s="100">
        <f>BI$52/SUM($BI$52:$BL$52)</f>
        <v>0.75676392646495927</v>
      </c>
      <c r="BJ21" s="49">
        <f>BJ$52/SUM($BI$52:$BL$52)</f>
        <v>6.9403553669303841E-2</v>
      </c>
      <c r="BK21" s="49">
        <f>BK$52/SUM($BI$52:$BL$52)</f>
        <v>0.15969001499133462</v>
      </c>
      <c r="BL21" s="49">
        <f>BL$52/SUM($BI$52:$BL$52)</f>
        <v>1.414250487440245E-2</v>
      </c>
      <c r="BM21" s="49"/>
      <c r="BN21" s="49"/>
      <c r="BO21" s="41">
        <f t="shared" si="37"/>
        <v>83.883486987000012</v>
      </c>
      <c r="BP21" s="41">
        <f t="shared" si="38"/>
        <v>8.2834869870000123</v>
      </c>
      <c r="BQ21" s="40" t="s">
        <v>87</v>
      </c>
      <c r="BR21" s="65">
        <f>'[2]BCH EE Plan'!D$86/1000</f>
        <v>0.55600000000000005</v>
      </c>
      <c r="BS21" s="40">
        <f>'[2]BCH EE Plan'!E$86/1000</f>
        <v>0.71</v>
      </c>
      <c r="BT21" s="40">
        <f>'[2]BCH EE Plan'!F$86/1000</f>
        <v>0.80700000000000005</v>
      </c>
      <c r="BU21" s="41">
        <f>'[2]BCH EE Plan'!G$86/1000</f>
        <v>1.0896131900000001</v>
      </c>
      <c r="BV21" s="123">
        <f t="shared" si="2"/>
        <v>165.66973974000024</v>
      </c>
      <c r="BW21" s="113">
        <f t="shared" si="3"/>
        <v>95.010943155900677</v>
      </c>
      <c r="BX21" s="113">
        <f t="shared" si="4"/>
        <v>16566.973974000022</v>
      </c>
      <c r="BY21" s="113">
        <f t="shared" si="5"/>
        <v>9501.0943155900677</v>
      </c>
      <c r="BZ21" s="124">
        <f t="shared" si="6"/>
        <v>11.468291481035882</v>
      </c>
      <c r="CA21" s="125">
        <f t="shared" si="7"/>
        <v>114.68291481035882</v>
      </c>
    </row>
    <row r="22" spans="1:79" s="27" customFormat="1">
      <c r="A22" s="3" t="s">
        <v>51</v>
      </c>
      <c r="B22" t="s">
        <v>179</v>
      </c>
      <c r="C22" t="s">
        <v>223</v>
      </c>
      <c r="D22" s="36" t="s">
        <v>122</v>
      </c>
      <c r="E22" s="2" t="s">
        <v>122</v>
      </c>
      <c r="F22" s="2"/>
      <c r="G22" s="2"/>
      <c r="H22" s="2"/>
      <c r="I22" s="2"/>
      <c r="J22" s="18"/>
      <c r="K22" s="16"/>
      <c r="L22" s="16"/>
      <c r="M22" s="16"/>
      <c r="N22" s="16"/>
      <c r="O22" s="16"/>
      <c r="P22" s="39">
        <f t="shared" si="8"/>
        <v>15.031763999999999</v>
      </c>
      <c r="Q22" s="40">
        <f>'[2]BCH EE Plan'!$I$75</f>
        <v>15.031763999999999</v>
      </c>
      <c r="R22" s="49">
        <v>0</v>
      </c>
      <c r="S22" s="49">
        <v>1</v>
      </c>
      <c r="T22" s="33">
        <f t="shared" si="9"/>
        <v>0</v>
      </c>
      <c r="U22" s="16"/>
      <c r="V22" s="16"/>
      <c r="W22" s="16"/>
      <c r="X22" s="16"/>
      <c r="Y22" s="16"/>
      <c r="Z22" s="16"/>
      <c r="AA22" s="11">
        <f t="shared" si="10"/>
        <v>7.8317639999999979</v>
      </c>
      <c r="AB22" s="40">
        <f>'[2]BCH EE Plan'!$G$75</f>
        <v>7.8317639999999979</v>
      </c>
      <c r="AC22" s="49">
        <v>0</v>
      </c>
      <c r="AD22" s="49">
        <v>1</v>
      </c>
      <c r="AE22" s="33">
        <f t="shared" si="11"/>
        <v>0</v>
      </c>
      <c r="AF22" s="8"/>
      <c r="AG22"/>
      <c r="AH22"/>
      <c r="AI22"/>
      <c r="AJ22"/>
      <c r="AK22"/>
      <c r="AL22" s="11">
        <f t="shared" si="12"/>
        <v>0.14047615999999999</v>
      </c>
      <c r="AM22" s="41">
        <f>'[2]BCH EE Plan'!$G$76/1000</f>
        <v>0.14047615999999999</v>
      </c>
      <c r="AN22" s="45"/>
      <c r="AO22" s="9" t="str">
        <f t="shared" si="13"/>
        <v>Yes</v>
      </c>
      <c r="AP22" s="48" t="str">
        <f t="shared" si="14"/>
        <v>No</v>
      </c>
      <c r="AQ22" s="51">
        <f t="shared" si="15"/>
        <v>13.768996020620362</v>
      </c>
      <c r="AR22" s="52">
        <f t="shared" si="16"/>
        <v>1.2627679793796365</v>
      </c>
      <c r="AS22" s="52">
        <f t="shared" si="17"/>
        <v>0</v>
      </c>
      <c r="AT22" s="52">
        <f t="shared" si="18"/>
        <v>0</v>
      </c>
      <c r="AU22" s="52">
        <f t="shared" si="19"/>
        <v>0</v>
      </c>
      <c r="AV22" s="52">
        <f t="shared" si="20"/>
        <v>0</v>
      </c>
      <c r="AW22" s="52">
        <f t="shared" si="21"/>
        <v>15.031763999999999</v>
      </c>
      <c r="AX22" s="49">
        <f t="shared" si="22"/>
        <v>0</v>
      </c>
      <c r="AY22" s="53">
        <f t="shared" si="23"/>
        <v>1</v>
      </c>
      <c r="AZ22" s="51">
        <f t="shared" si="24"/>
        <v>7.1738438250120078</v>
      </c>
      <c r="BA22" s="52">
        <f t="shared" si="25"/>
        <v>0.6579201749879906</v>
      </c>
      <c r="BB22" s="52">
        <f t="shared" si="26"/>
        <v>0</v>
      </c>
      <c r="BC22" s="52">
        <f t="shared" si="27"/>
        <v>0</v>
      </c>
      <c r="BD22" s="52">
        <f t="shared" si="28"/>
        <v>0</v>
      </c>
      <c r="BE22" s="52">
        <f t="shared" si="29"/>
        <v>0</v>
      </c>
      <c r="BF22" s="52">
        <f t="shared" si="30"/>
        <v>7.8317639999999979</v>
      </c>
      <c r="BG22" s="49">
        <f t="shared" si="31"/>
        <v>0</v>
      </c>
      <c r="BH22" s="49">
        <f t="shared" si="32"/>
        <v>1</v>
      </c>
      <c r="BI22" s="100">
        <f>BI$52/SUM($BI$52:$BJ$52)</f>
        <v>0.91599336050116031</v>
      </c>
      <c r="BJ22" s="49">
        <f>BJ$52/SUM($BI$52:$BJ$52)</f>
        <v>8.40066394988397E-2</v>
      </c>
      <c r="BK22" s="49"/>
      <c r="BL22" s="49"/>
      <c r="BM22" s="49"/>
      <c r="BN22" s="49"/>
      <c r="BO22" s="41">
        <f t="shared" si="37"/>
        <v>15.031763999999999</v>
      </c>
      <c r="BP22" s="41">
        <f t="shared" si="38"/>
        <v>7.8317639999999979</v>
      </c>
      <c r="BQ22" s="40" t="s">
        <v>87</v>
      </c>
      <c r="BR22" s="65">
        <f>'[2]BCH EE Plan'!D$76/1000</f>
        <v>0</v>
      </c>
      <c r="BS22" s="40">
        <f>'[2]BCH EE Plan'!E$76/1000</f>
        <v>8.5999999999999993E-2</v>
      </c>
      <c r="BT22" s="40">
        <f>'[2]BCH EE Plan'!F$76/1000</f>
        <v>0.22900000000000001</v>
      </c>
      <c r="BU22" s="41">
        <f>'[2]BCH EE Plan'!G$76/1000</f>
        <v>0.14047615999999999</v>
      </c>
      <c r="BV22" s="123">
        <f t="shared" si="2"/>
        <v>156.63527999999997</v>
      </c>
      <c r="BW22" s="113">
        <f t="shared" si="3"/>
        <v>89.829716082395521</v>
      </c>
      <c r="BX22" s="113">
        <f t="shared" si="4"/>
        <v>15663.527999999997</v>
      </c>
      <c r="BY22" s="113">
        <f t="shared" si="5"/>
        <v>8982.9716082395516</v>
      </c>
      <c r="BZ22" s="124">
        <f t="shared" si="6"/>
        <v>1.5638050093707236</v>
      </c>
      <c r="CA22" s="125">
        <f t="shared" si="7"/>
        <v>15.638050093707237</v>
      </c>
    </row>
    <row r="23" spans="1:79" s="27" customFormat="1">
      <c r="A23" s="3" t="s">
        <v>256</v>
      </c>
      <c r="B23" t="s">
        <v>179</v>
      </c>
      <c r="C23" t="s">
        <v>223</v>
      </c>
      <c r="D23" s="36"/>
      <c r="E23" s="2"/>
      <c r="F23" s="2"/>
      <c r="G23" s="2"/>
      <c r="H23" s="2" t="s">
        <v>122</v>
      </c>
      <c r="I23" s="2"/>
      <c r="J23" s="18"/>
      <c r="K23" s="11"/>
      <c r="L23" s="11"/>
      <c r="M23" s="11"/>
      <c r="N23" s="11">
        <f>'[2]BCH EE Plan'!$I$32</f>
        <v>363.69819359999997</v>
      </c>
      <c r="O23" s="11"/>
      <c r="P23" s="39">
        <f t="shared" si="8"/>
        <v>363.69819359999997</v>
      </c>
      <c r="Q23" s="40"/>
      <c r="R23" s="49">
        <v>0</v>
      </c>
      <c r="S23" s="49">
        <v>1</v>
      </c>
      <c r="T23" s="33">
        <f t="shared" si="9"/>
        <v>0</v>
      </c>
      <c r="U23" s="16"/>
      <c r="V23" s="16"/>
      <c r="W23" s="16"/>
      <c r="X23" s="16"/>
      <c r="Y23" s="16">
        <f>'[2]BCH EE Plan'!$G$32</f>
        <v>64.898193599999999</v>
      </c>
      <c r="Z23" s="16"/>
      <c r="AA23" s="11">
        <f t="shared" si="10"/>
        <v>64.898193599999999</v>
      </c>
      <c r="AB23" s="40"/>
      <c r="AC23" s="49">
        <v>0</v>
      </c>
      <c r="AD23" s="49">
        <v>1</v>
      </c>
      <c r="AE23" s="33">
        <f t="shared" si="11"/>
        <v>0</v>
      </c>
      <c r="AF23" s="8"/>
      <c r="AG23"/>
      <c r="AH23"/>
      <c r="AI23"/>
      <c r="AJ23"/>
      <c r="AK23"/>
      <c r="AL23" s="11">
        <f t="shared" si="12"/>
        <v>6.0393928299999997</v>
      </c>
      <c r="AM23" s="41">
        <f>'[2]BCH EE Plan'!$G$33/1000</f>
        <v>6.0393928299999997</v>
      </c>
      <c r="AN23" s="45"/>
      <c r="AO23" s="9" t="str">
        <f t="shared" si="13"/>
        <v>No</v>
      </c>
      <c r="AP23" s="48" t="str">
        <f t="shared" si="14"/>
        <v>No</v>
      </c>
      <c r="AQ23" s="51">
        <f t="shared" si="15"/>
        <v>0</v>
      </c>
      <c r="AR23" s="52">
        <f t="shared" si="16"/>
        <v>0</v>
      </c>
      <c r="AS23" s="52">
        <f t="shared" si="17"/>
        <v>0</v>
      </c>
      <c r="AT23" s="52">
        <f t="shared" si="18"/>
        <v>0</v>
      </c>
      <c r="AU23" s="52">
        <f t="shared" si="19"/>
        <v>363.69819359999997</v>
      </c>
      <c r="AV23" s="52">
        <f t="shared" si="20"/>
        <v>0</v>
      </c>
      <c r="AW23" s="52">
        <f t="shared" si="21"/>
        <v>363.69819359999997</v>
      </c>
      <c r="AX23" s="49">
        <f t="shared" si="22"/>
        <v>0</v>
      </c>
      <c r="AY23" s="53">
        <f t="shared" si="23"/>
        <v>1</v>
      </c>
      <c r="AZ23" s="51">
        <f t="shared" si="24"/>
        <v>0</v>
      </c>
      <c r="BA23" s="52">
        <f t="shared" si="25"/>
        <v>0</v>
      </c>
      <c r="BB23" s="52">
        <f t="shared" si="26"/>
        <v>0</v>
      </c>
      <c r="BC23" s="52">
        <f t="shared" si="27"/>
        <v>0</v>
      </c>
      <c r="BD23" s="52">
        <f t="shared" si="28"/>
        <v>64.898193599999999</v>
      </c>
      <c r="BE23" s="52">
        <f t="shared" si="29"/>
        <v>0</v>
      </c>
      <c r="BF23" s="52">
        <f t="shared" si="30"/>
        <v>64.898193599999999</v>
      </c>
      <c r="BG23" s="49">
        <f t="shared" si="31"/>
        <v>0</v>
      </c>
      <c r="BH23" s="49">
        <f t="shared" si="32"/>
        <v>1</v>
      </c>
      <c r="BI23" s="100"/>
      <c r="BJ23" s="49"/>
      <c r="BK23" s="49"/>
      <c r="BL23" s="49"/>
      <c r="BM23" s="49"/>
      <c r="BN23" s="49"/>
      <c r="BO23" s="41">
        <f t="shared" si="37"/>
        <v>0</v>
      </c>
      <c r="BP23" s="41">
        <f t="shared" si="38"/>
        <v>0</v>
      </c>
      <c r="BQ23" s="40"/>
      <c r="BR23" s="65">
        <f>'[2]BCH EE Plan'!D$33/1000</f>
        <v>4.0979999999999999</v>
      </c>
      <c r="BS23" s="40">
        <f>'[2]BCH EE Plan'!E$33/1000</f>
        <v>2.41</v>
      </c>
      <c r="BT23" s="40">
        <f>'[2]BCH EE Plan'!F$33/1000</f>
        <v>3.9510000000000001</v>
      </c>
      <c r="BU23" s="41">
        <f>'[2]BCH EE Plan'!G$33/1000</f>
        <v>6.0393928299999997</v>
      </c>
      <c r="BV23" s="123">
        <f t="shared" si="2"/>
        <v>1297.963872</v>
      </c>
      <c r="BW23" s="113">
        <f t="shared" si="3"/>
        <v>744.3771678191963</v>
      </c>
      <c r="BX23" s="113">
        <f t="shared" si="4"/>
        <v>129796.3872</v>
      </c>
      <c r="BY23" s="113">
        <f t="shared" si="5"/>
        <v>74437.716781919633</v>
      </c>
      <c r="BZ23" s="124">
        <f t="shared" si="6"/>
        <v>8.1133504506776095</v>
      </c>
      <c r="CA23" s="125">
        <f t="shared" si="7"/>
        <v>81.133504506776106</v>
      </c>
    </row>
    <row r="24" spans="1:79" s="27" customFormat="1">
      <c r="A24" s="3" t="s">
        <v>0</v>
      </c>
      <c r="B24" t="s">
        <v>179</v>
      </c>
      <c r="C24" t="s">
        <v>223</v>
      </c>
      <c r="D24" s="36"/>
      <c r="E24" s="2"/>
      <c r="F24" s="2"/>
      <c r="G24" s="2"/>
      <c r="H24" s="2" t="s">
        <v>122</v>
      </c>
      <c r="I24" s="2"/>
      <c r="J24" s="18"/>
      <c r="K24" s="11"/>
      <c r="L24" s="11"/>
      <c r="M24" s="11"/>
      <c r="N24" s="11">
        <f>'[2]BCH EE Plan'!$I$27</f>
        <v>961.30013759999997</v>
      </c>
      <c r="O24" s="11"/>
      <c r="P24" s="39">
        <f t="shared" si="8"/>
        <v>961.30013759999997</v>
      </c>
      <c r="Q24" s="40"/>
      <c r="R24" s="49">
        <v>0</v>
      </c>
      <c r="S24" s="49">
        <v>1</v>
      </c>
      <c r="T24" s="33">
        <f t="shared" si="9"/>
        <v>0</v>
      </c>
      <c r="U24" s="16"/>
      <c r="V24" s="16"/>
      <c r="W24" s="16"/>
      <c r="X24" s="16"/>
      <c r="Y24" s="16">
        <f>'[2]BCH EE Plan'!$G$27</f>
        <v>172.90013759999991</v>
      </c>
      <c r="Z24" s="16"/>
      <c r="AA24" s="11">
        <f t="shared" si="10"/>
        <v>172.90013759999991</v>
      </c>
      <c r="AB24" s="40"/>
      <c r="AC24" s="49">
        <v>0</v>
      </c>
      <c r="AD24" s="49">
        <v>1</v>
      </c>
      <c r="AE24" s="33">
        <f t="shared" si="11"/>
        <v>0</v>
      </c>
      <c r="AF24" s="8"/>
      <c r="AG24"/>
      <c r="AH24"/>
      <c r="AI24"/>
      <c r="AJ24"/>
      <c r="AK24"/>
      <c r="AL24" s="11">
        <f t="shared" si="12"/>
        <v>6.5170000000000003</v>
      </c>
      <c r="AM24" s="41">
        <f>'[2]BCH EE Plan'!$G$28/1000</f>
        <v>6.5170000000000003</v>
      </c>
      <c r="AN24" s="45"/>
      <c r="AO24" s="9" t="str">
        <f t="shared" si="13"/>
        <v>No</v>
      </c>
      <c r="AP24" s="48" t="str">
        <f t="shared" si="14"/>
        <v>No</v>
      </c>
      <c r="AQ24" s="51">
        <f t="shared" si="15"/>
        <v>0</v>
      </c>
      <c r="AR24" s="52">
        <f t="shared" si="16"/>
        <v>0</v>
      </c>
      <c r="AS24" s="52">
        <f t="shared" si="17"/>
        <v>0</v>
      </c>
      <c r="AT24" s="52">
        <f t="shared" si="18"/>
        <v>0</v>
      </c>
      <c r="AU24" s="52">
        <f t="shared" si="19"/>
        <v>961.30013759999997</v>
      </c>
      <c r="AV24" s="52">
        <f t="shared" si="20"/>
        <v>0</v>
      </c>
      <c r="AW24" s="52">
        <f t="shared" si="21"/>
        <v>961.30013759999997</v>
      </c>
      <c r="AX24" s="49">
        <f t="shared" si="22"/>
        <v>0</v>
      </c>
      <c r="AY24" s="53">
        <f t="shared" si="23"/>
        <v>1</v>
      </c>
      <c r="AZ24" s="51">
        <f t="shared" si="24"/>
        <v>0</v>
      </c>
      <c r="BA24" s="52">
        <f t="shared" si="25"/>
        <v>0</v>
      </c>
      <c r="BB24" s="52">
        <f t="shared" si="26"/>
        <v>0</v>
      </c>
      <c r="BC24" s="52">
        <f t="shared" si="27"/>
        <v>0</v>
      </c>
      <c r="BD24" s="52">
        <f t="shared" si="28"/>
        <v>172.90013759999991</v>
      </c>
      <c r="BE24" s="52">
        <f t="shared" si="29"/>
        <v>0</v>
      </c>
      <c r="BF24" s="52">
        <f t="shared" si="30"/>
        <v>172.90013759999991</v>
      </c>
      <c r="BG24" s="49">
        <f t="shared" si="31"/>
        <v>0</v>
      </c>
      <c r="BH24" s="49">
        <f t="shared" si="32"/>
        <v>1</v>
      </c>
      <c r="BI24" s="100"/>
      <c r="BJ24" s="49"/>
      <c r="BK24" s="49"/>
      <c r="BL24" s="49"/>
      <c r="BM24" s="49"/>
      <c r="BN24" s="49"/>
      <c r="BO24" s="41">
        <f t="shared" si="37"/>
        <v>0</v>
      </c>
      <c r="BP24" s="41">
        <f t="shared" si="38"/>
        <v>0</v>
      </c>
      <c r="BQ24" s="40"/>
      <c r="BR24" s="65">
        <f>'[2]BCH EE Plan'!D$28/1000</f>
        <v>8.8719999999999999</v>
      </c>
      <c r="BS24" s="40">
        <f>'[2]BCH EE Plan'!E$28/1000</f>
        <v>10.57</v>
      </c>
      <c r="BT24" s="40">
        <f>'[2]BCH EE Plan'!F$28/1000</f>
        <v>7.8609999999999998</v>
      </c>
      <c r="BU24" s="41">
        <f>'[2]BCH EE Plan'!G$28/1000</f>
        <v>6.5170000000000003</v>
      </c>
      <c r="BV24" s="123">
        <f t="shared" si="2"/>
        <v>3458.0027519999981</v>
      </c>
      <c r="BW24" s="113">
        <f t="shared" si="3"/>
        <v>1983.1509569510924</v>
      </c>
      <c r="BX24" s="113">
        <f t="shared" si="4"/>
        <v>345800.2751999998</v>
      </c>
      <c r="BY24" s="113">
        <f t="shared" si="5"/>
        <v>198315.09569510925</v>
      </c>
      <c r="BZ24" s="124">
        <f t="shared" si="6"/>
        <v>3.2861845323259069</v>
      </c>
      <c r="CA24" s="125">
        <f t="shared" si="7"/>
        <v>32.861845323259068</v>
      </c>
    </row>
    <row r="25" spans="1:79" s="27" customFormat="1">
      <c r="A25" s="3" t="s">
        <v>1</v>
      </c>
      <c r="B25" t="s">
        <v>179</v>
      </c>
      <c r="C25" t="s">
        <v>223</v>
      </c>
      <c r="D25" s="36"/>
      <c r="E25" s="2"/>
      <c r="F25" s="2" t="s">
        <v>122</v>
      </c>
      <c r="G25" s="2"/>
      <c r="H25" s="2" t="s">
        <v>122</v>
      </c>
      <c r="I25" s="2"/>
      <c r="J25" s="18"/>
      <c r="K25" s="16"/>
      <c r="L25" s="16"/>
      <c r="M25" s="16"/>
      <c r="N25" s="16"/>
      <c r="O25" s="16"/>
      <c r="P25" s="39">
        <f t="shared" si="8"/>
        <v>89.467473600000005</v>
      </c>
      <c r="Q25" s="40">
        <f>'[2]BCH EE Plan'!$I$42</f>
        <v>89.467473600000005</v>
      </c>
      <c r="R25" s="49">
        <v>0</v>
      </c>
      <c r="S25" s="49">
        <v>1</v>
      </c>
      <c r="T25" s="33">
        <f t="shared" si="9"/>
        <v>0</v>
      </c>
      <c r="U25" s="16"/>
      <c r="V25" s="16"/>
      <c r="W25" s="16"/>
      <c r="X25" s="16"/>
      <c r="Y25" s="16"/>
      <c r="Z25" s="16"/>
      <c r="AA25" s="11">
        <f t="shared" si="10"/>
        <v>53.467473599999998</v>
      </c>
      <c r="AB25" s="40">
        <f>'[2]BCH EE Plan'!$G$42</f>
        <v>53.467473599999998</v>
      </c>
      <c r="AC25" s="49">
        <v>0</v>
      </c>
      <c r="AD25" s="49">
        <v>1</v>
      </c>
      <c r="AE25" s="33">
        <f t="shared" si="11"/>
        <v>0</v>
      </c>
      <c r="AF25" s="8"/>
      <c r="AG25"/>
      <c r="AH25"/>
      <c r="AI25"/>
      <c r="AJ25"/>
      <c r="AK25"/>
      <c r="AL25" s="11">
        <f t="shared" si="12"/>
        <v>1.2598135200000002</v>
      </c>
      <c r="AM25" s="41">
        <f>'[2]BCH EE Plan'!$G$43/1000</f>
        <v>1.2598135200000002</v>
      </c>
      <c r="AN25" s="45"/>
      <c r="AO25" s="9" t="str">
        <f t="shared" si="13"/>
        <v>Yes</v>
      </c>
      <c r="AP25" s="48" t="str">
        <f t="shared" si="14"/>
        <v>No</v>
      </c>
      <c r="AQ25" s="51">
        <f t="shared" si="15"/>
        <v>0</v>
      </c>
      <c r="AR25" s="52">
        <f t="shared" si="16"/>
        <v>0</v>
      </c>
      <c r="AS25" s="52">
        <f t="shared" si="17"/>
        <v>15.123829549490836</v>
      </c>
      <c r="AT25" s="52">
        <f t="shared" si="18"/>
        <v>0</v>
      </c>
      <c r="AU25" s="52">
        <f t="shared" si="19"/>
        <v>74.34364405050917</v>
      </c>
      <c r="AV25" s="52">
        <f t="shared" si="20"/>
        <v>0</v>
      </c>
      <c r="AW25" s="52">
        <f t="shared" si="21"/>
        <v>89.467473600000005</v>
      </c>
      <c r="AX25" s="49">
        <f t="shared" si="22"/>
        <v>0</v>
      </c>
      <c r="AY25" s="53">
        <f t="shared" si="23"/>
        <v>1</v>
      </c>
      <c r="AZ25" s="51">
        <f t="shared" si="24"/>
        <v>0</v>
      </c>
      <c r="BA25" s="52">
        <f t="shared" si="25"/>
        <v>0</v>
      </c>
      <c r="BB25" s="52">
        <f t="shared" si="26"/>
        <v>9.0382898346232174</v>
      </c>
      <c r="BC25" s="52">
        <f t="shared" si="27"/>
        <v>0</v>
      </c>
      <c r="BD25" s="52">
        <f t="shared" si="28"/>
        <v>44.429183765376777</v>
      </c>
      <c r="BE25" s="52">
        <f t="shared" si="29"/>
        <v>0</v>
      </c>
      <c r="BF25" s="52">
        <f t="shared" si="30"/>
        <v>53.467473599999991</v>
      </c>
      <c r="BG25" s="49">
        <f t="shared" si="31"/>
        <v>0</v>
      </c>
      <c r="BH25" s="49">
        <f t="shared" si="32"/>
        <v>1</v>
      </c>
      <c r="BI25" s="100"/>
      <c r="BJ25" s="49"/>
      <c r="BK25" s="49">
        <f>BK$52/SUM($BK$52,$BM$52)</f>
        <v>0.1690427698574338</v>
      </c>
      <c r="BL25" s="49"/>
      <c r="BM25" s="49">
        <f>BM$52/SUM($BK$52,$BM$52)</f>
        <v>0.83095723014256617</v>
      </c>
      <c r="BN25" s="49"/>
      <c r="BO25" s="41">
        <f t="shared" si="37"/>
        <v>89.467473600000005</v>
      </c>
      <c r="BP25" s="41">
        <f t="shared" si="38"/>
        <v>53.467473599999998</v>
      </c>
      <c r="BQ25" s="40" t="s">
        <v>87</v>
      </c>
      <c r="BR25" s="65">
        <f>'[2]BCH EE Plan'!D$43/1000</f>
        <v>1.4999999999999999E-2</v>
      </c>
      <c r="BS25" s="40">
        <f>'[2]BCH EE Plan'!E$43/1000</f>
        <v>0.58699999999999997</v>
      </c>
      <c r="BT25" s="40">
        <f>'[2]BCH EE Plan'!F$43/1000</f>
        <v>1.276</v>
      </c>
      <c r="BU25" s="41">
        <f>'[2]BCH EE Plan'!G$43/1000</f>
        <v>1.2598135200000002</v>
      </c>
      <c r="BV25" s="123">
        <f t="shared" si="2"/>
        <v>1069.3494719999999</v>
      </c>
      <c r="BW25" s="113">
        <f t="shared" si="3"/>
        <v>613.267709947718</v>
      </c>
      <c r="BX25" s="113">
        <f t="shared" si="4"/>
        <v>106934.9472</v>
      </c>
      <c r="BY25" s="113">
        <f t="shared" si="5"/>
        <v>61326.770994771803</v>
      </c>
      <c r="BZ25" s="124">
        <f t="shared" si="6"/>
        <v>2.0542635778221574</v>
      </c>
      <c r="CA25" s="125">
        <f t="shared" si="7"/>
        <v>20.542635778221573</v>
      </c>
    </row>
    <row r="26" spans="1:79" s="27" customFormat="1">
      <c r="A26" s="3" t="s">
        <v>2</v>
      </c>
      <c r="B26" t="s">
        <v>179</v>
      </c>
      <c r="C26" t="s">
        <v>223</v>
      </c>
      <c r="D26" s="36"/>
      <c r="E26" s="2"/>
      <c r="F26" s="2" t="s">
        <v>122</v>
      </c>
      <c r="G26" s="2"/>
      <c r="H26" s="2" t="s">
        <v>122</v>
      </c>
      <c r="I26" s="2"/>
      <c r="J26" s="18"/>
      <c r="K26" s="16"/>
      <c r="L26" s="16"/>
      <c r="M26" s="16"/>
      <c r="N26" s="16"/>
      <c r="O26" s="16"/>
      <c r="P26" s="39">
        <f t="shared" si="8"/>
        <v>28.8</v>
      </c>
      <c r="Q26" s="40">
        <f>'[2]BCH EE Plan'!$I$47</f>
        <v>28.8</v>
      </c>
      <c r="R26" s="49">
        <v>0</v>
      </c>
      <c r="S26" s="49">
        <v>1</v>
      </c>
      <c r="T26" s="33">
        <f t="shared" si="9"/>
        <v>0</v>
      </c>
      <c r="U26" s="16"/>
      <c r="V26" s="16"/>
      <c r="W26" s="16"/>
      <c r="X26" s="16"/>
      <c r="Y26" s="16"/>
      <c r="Z26" s="16"/>
      <c r="AA26" s="11">
        <f t="shared" si="10"/>
        <v>0</v>
      </c>
      <c r="AB26" s="40">
        <f>'[2]BCH EE Plan'!$G$47</f>
        <v>0</v>
      </c>
      <c r="AC26" s="49">
        <v>0</v>
      </c>
      <c r="AD26" s="49">
        <v>1</v>
      </c>
      <c r="AE26" s="33">
        <f t="shared" si="11"/>
        <v>0</v>
      </c>
      <c r="AF26" s="8"/>
      <c r="AG26"/>
      <c r="AH26"/>
      <c r="AI26"/>
      <c r="AJ26"/>
      <c r="AK26"/>
      <c r="AL26" s="11">
        <f t="shared" si="12"/>
        <v>8.9999999999999993E-3</v>
      </c>
      <c r="AM26" s="41">
        <f>'[2]BCH EE Plan'!$G$48/1000</f>
        <v>8.9999999999999993E-3</v>
      </c>
      <c r="AN26" s="45"/>
      <c r="AO26" s="9" t="str">
        <f t="shared" si="13"/>
        <v>Yes</v>
      </c>
      <c r="AP26" s="48" t="str">
        <f t="shared" si="14"/>
        <v>No</v>
      </c>
      <c r="AQ26" s="51">
        <f t="shared" si="15"/>
        <v>0</v>
      </c>
      <c r="AR26" s="52">
        <f t="shared" si="16"/>
        <v>0</v>
      </c>
      <c r="AS26" s="52">
        <f t="shared" si="17"/>
        <v>4.8684317718940937</v>
      </c>
      <c r="AT26" s="52">
        <f t="shared" si="18"/>
        <v>0</v>
      </c>
      <c r="AU26" s="52">
        <f t="shared" si="19"/>
        <v>23.931568228105906</v>
      </c>
      <c r="AV26" s="52">
        <f t="shared" si="20"/>
        <v>0</v>
      </c>
      <c r="AW26" s="52">
        <f t="shared" si="21"/>
        <v>28.8</v>
      </c>
      <c r="AX26" s="49">
        <f t="shared" si="22"/>
        <v>0</v>
      </c>
      <c r="AY26" s="53">
        <f t="shared" si="23"/>
        <v>1</v>
      </c>
      <c r="AZ26" s="51">
        <f t="shared" si="24"/>
        <v>0</v>
      </c>
      <c r="BA26" s="52">
        <f t="shared" si="25"/>
        <v>0</v>
      </c>
      <c r="BB26" s="52">
        <f t="shared" si="26"/>
        <v>0</v>
      </c>
      <c r="BC26" s="52">
        <f t="shared" si="27"/>
        <v>0</v>
      </c>
      <c r="BD26" s="52">
        <f t="shared" si="28"/>
        <v>0</v>
      </c>
      <c r="BE26" s="52">
        <f t="shared" si="29"/>
        <v>0</v>
      </c>
      <c r="BF26" s="52">
        <f t="shared" si="30"/>
        <v>0</v>
      </c>
      <c r="BG26" s="49">
        <f t="shared" si="31"/>
        <v>0</v>
      </c>
      <c r="BH26" s="49">
        <f t="shared" si="32"/>
        <v>1</v>
      </c>
      <c r="BI26" s="100"/>
      <c r="BJ26" s="49"/>
      <c r="BK26" s="49">
        <f>BK$52/SUM($BK$52,$BM$52)</f>
        <v>0.1690427698574338</v>
      </c>
      <c r="BL26" s="49"/>
      <c r="BM26" s="49">
        <f>BM$52/SUM($BK$52,$BM$52)</f>
        <v>0.83095723014256617</v>
      </c>
      <c r="BN26" s="49"/>
      <c r="BO26" s="41">
        <f t="shared" si="37"/>
        <v>28.8</v>
      </c>
      <c r="BP26" s="41">
        <f t="shared" si="38"/>
        <v>0</v>
      </c>
      <c r="BQ26" s="40" t="s">
        <v>87</v>
      </c>
      <c r="BR26" s="65">
        <f>'[2]BCH EE Plan'!D$48/1000</f>
        <v>0</v>
      </c>
      <c r="BS26" s="40">
        <f>'[2]BCH EE Plan'!E$48/1000</f>
        <v>0.16900000000000001</v>
      </c>
      <c r="BT26" s="40">
        <f>'[2]BCH EE Plan'!F$48/1000</f>
        <v>0.52100000000000002</v>
      </c>
      <c r="BU26" s="41">
        <f>'[2]BCH EE Plan'!G$48/1000</f>
        <v>8.9999999999999993E-3</v>
      </c>
      <c r="BV26" s="123">
        <f t="shared" si="2"/>
        <v>0</v>
      </c>
      <c r="BW26" s="113">
        <f t="shared" si="3"/>
        <v>0</v>
      </c>
      <c r="BX26" s="113">
        <f t="shared" si="4"/>
        <v>0</v>
      </c>
      <c r="BY26" s="113">
        <f t="shared" si="5"/>
        <v>0</v>
      </c>
      <c r="BZ26" s="124" t="e">
        <f t="shared" si="6"/>
        <v>#DIV/0!</v>
      </c>
      <c r="CA26" s="125" t="e">
        <f t="shared" si="7"/>
        <v>#DIV/0!</v>
      </c>
    </row>
    <row r="27" spans="1:79" s="27" customFormat="1">
      <c r="A27" s="3" t="s">
        <v>206</v>
      </c>
      <c r="B27" t="s">
        <v>179</v>
      </c>
      <c r="C27" t="s">
        <v>223</v>
      </c>
      <c r="D27" s="36"/>
      <c r="E27" s="2"/>
      <c r="F27" s="2"/>
      <c r="G27" s="2"/>
      <c r="H27" s="2"/>
      <c r="I27" s="2" t="s">
        <v>122</v>
      </c>
      <c r="J27" s="18"/>
      <c r="K27" s="11"/>
      <c r="L27" s="11"/>
      <c r="M27" s="11"/>
      <c r="N27" s="11"/>
      <c r="O27" s="11">
        <f>'[2]BCH EE Plan'!$I$52</f>
        <v>18</v>
      </c>
      <c r="P27" s="39">
        <f t="shared" si="8"/>
        <v>18</v>
      </c>
      <c r="Q27" s="40"/>
      <c r="R27" s="49">
        <v>0</v>
      </c>
      <c r="S27" s="49">
        <v>1</v>
      </c>
      <c r="T27" s="33">
        <f t="shared" si="9"/>
        <v>0</v>
      </c>
      <c r="U27" s="16"/>
      <c r="V27" s="16"/>
      <c r="W27" s="16"/>
      <c r="X27" s="16"/>
      <c r="Y27" s="16"/>
      <c r="Z27" s="16">
        <f>'[2]BCH EE Plan'!$G$52</f>
        <v>0</v>
      </c>
      <c r="AA27" s="11">
        <f t="shared" si="10"/>
        <v>0</v>
      </c>
      <c r="AB27" s="3"/>
      <c r="AC27" s="49">
        <v>0</v>
      </c>
      <c r="AD27" s="49">
        <v>1</v>
      </c>
      <c r="AE27" s="33">
        <f t="shared" si="11"/>
        <v>0</v>
      </c>
      <c r="AF27" s="8"/>
      <c r="AG27"/>
      <c r="AH27"/>
      <c r="AI27"/>
      <c r="AJ27"/>
      <c r="AK27"/>
      <c r="AL27" s="11">
        <f t="shared" si="12"/>
        <v>0.28759257000000005</v>
      </c>
      <c r="AM27" s="41">
        <f>'[2]BCH EE Plan'!$G$53/1000</f>
        <v>0.28759257000000005</v>
      </c>
      <c r="AN27" s="45"/>
      <c r="AO27" s="9" t="str">
        <f t="shared" si="13"/>
        <v>No</v>
      </c>
      <c r="AP27" s="48" t="str">
        <f t="shared" si="14"/>
        <v>No</v>
      </c>
      <c r="AQ27" s="51">
        <f t="shared" si="15"/>
        <v>0</v>
      </c>
      <c r="AR27" s="52">
        <f t="shared" si="16"/>
        <v>0</v>
      </c>
      <c r="AS27" s="52">
        <f t="shared" si="17"/>
        <v>0</v>
      </c>
      <c r="AT27" s="52">
        <f t="shared" si="18"/>
        <v>0</v>
      </c>
      <c r="AU27" s="52">
        <f t="shared" si="19"/>
        <v>0</v>
      </c>
      <c r="AV27" s="52">
        <f t="shared" si="20"/>
        <v>18</v>
      </c>
      <c r="AW27" s="52">
        <f t="shared" si="21"/>
        <v>18</v>
      </c>
      <c r="AX27" s="49">
        <f t="shared" si="22"/>
        <v>0</v>
      </c>
      <c r="AY27" s="53">
        <f t="shared" si="23"/>
        <v>1</v>
      </c>
      <c r="AZ27" s="51">
        <f t="shared" si="24"/>
        <v>0</v>
      </c>
      <c r="BA27" s="52">
        <f t="shared" si="25"/>
        <v>0</v>
      </c>
      <c r="BB27" s="52">
        <f t="shared" si="26"/>
        <v>0</v>
      </c>
      <c r="BC27" s="52">
        <f t="shared" si="27"/>
        <v>0</v>
      </c>
      <c r="BD27" s="52">
        <f t="shared" si="28"/>
        <v>0</v>
      </c>
      <c r="BE27" s="52">
        <f t="shared" si="29"/>
        <v>0</v>
      </c>
      <c r="BF27" s="52">
        <f t="shared" si="30"/>
        <v>0</v>
      </c>
      <c r="BG27" s="49">
        <f t="shared" si="31"/>
        <v>0</v>
      </c>
      <c r="BH27" s="49">
        <f t="shared" si="32"/>
        <v>1</v>
      </c>
      <c r="BI27" s="100"/>
      <c r="BJ27" s="49"/>
      <c r="BK27" s="49"/>
      <c r="BL27" s="49"/>
      <c r="BM27" s="49"/>
      <c r="BN27" s="49"/>
      <c r="BO27" s="41">
        <f t="shared" si="37"/>
        <v>0</v>
      </c>
      <c r="BP27" s="41">
        <f t="shared" si="38"/>
        <v>0</v>
      </c>
      <c r="BQ27" s="3"/>
      <c r="BR27" s="65">
        <f>'[2]BCH EE Plan'!D$53/1000</f>
        <v>0</v>
      </c>
      <c r="BS27" s="40">
        <f>'[2]BCH EE Plan'!E$53/1000</f>
        <v>7.3999999999999996E-2</v>
      </c>
      <c r="BT27" s="40">
        <f>'[2]BCH EE Plan'!F$53/1000</f>
        <v>0.4</v>
      </c>
      <c r="BU27" s="41">
        <f>'[2]BCH EE Plan'!G$53/1000</f>
        <v>0.28759257000000005</v>
      </c>
      <c r="BV27" s="123">
        <f t="shared" si="2"/>
        <v>0</v>
      </c>
      <c r="BW27" s="113">
        <f t="shared" si="3"/>
        <v>0</v>
      </c>
      <c r="BX27" s="113">
        <f t="shared" si="4"/>
        <v>0</v>
      </c>
      <c r="BY27" s="113">
        <f t="shared" si="5"/>
        <v>0</v>
      </c>
      <c r="BZ27" s="124" t="e">
        <f t="shared" si="6"/>
        <v>#DIV/0!</v>
      </c>
      <c r="CA27" s="125" t="e">
        <f t="shared" si="7"/>
        <v>#DIV/0!</v>
      </c>
    </row>
    <row r="28" spans="1:79" s="27" customFormat="1">
      <c r="A28" s="3" t="s">
        <v>241</v>
      </c>
      <c r="B28" t="s">
        <v>179</v>
      </c>
      <c r="C28" t="s">
        <v>223</v>
      </c>
      <c r="D28" s="36" t="s">
        <v>122</v>
      </c>
      <c r="E28" s="2" t="s">
        <v>122</v>
      </c>
      <c r="F28" s="2" t="s">
        <v>122</v>
      </c>
      <c r="G28" s="2" t="s">
        <v>122</v>
      </c>
      <c r="H28" s="2" t="s">
        <v>122</v>
      </c>
      <c r="I28" s="2" t="s">
        <v>122</v>
      </c>
      <c r="J28" s="18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39">
        <f t="shared" si="8"/>
        <v>0</v>
      </c>
      <c r="Q28" s="40"/>
      <c r="R28" s="49">
        <v>0</v>
      </c>
      <c r="S28" s="49">
        <v>1</v>
      </c>
      <c r="T28" s="33">
        <f t="shared" si="9"/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1">
        <f t="shared" si="10"/>
        <v>0</v>
      </c>
      <c r="AB28" s="3"/>
      <c r="AC28" s="49">
        <v>0</v>
      </c>
      <c r="AD28" s="49">
        <v>1</v>
      </c>
      <c r="AE28" s="33">
        <f t="shared" si="11"/>
        <v>0</v>
      </c>
      <c r="AF28" s="8"/>
      <c r="AG28"/>
      <c r="AH28"/>
      <c r="AI28"/>
      <c r="AJ28"/>
      <c r="AK28"/>
      <c r="AL28" s="11">
        <f t="shared" si="12"/>
        <v>6.0364712003945025</v>
      </c>
      <c r="AM28" s="41">
        <f>'[2]BCH EE Plan'!G$109/1000</f>
        <v>6.0364712003945025</v>
      </c>
      <c r="AN28" s="45"/>
      <c r="AO28" s="9" t="str">
        <f t="shared" si="13"/>
        <v>No</v>
      </c>
      <c r="AP28" s="48" t="str">
        <f t="shared" si="14"/>
        <v>No</v>
      </c>
      <c r="AQ28" s="51">
        <f t="shared" si="15"/>
        <v>0</v>
      </c>
      <c r="AR28" s="52">
        <f t="shared" si="16"/>
        <v>0</v>
      </c>
      <c r="AS28" s="52">
        <f t="shared" si="17"/>
        <v>0</v>
      </c>
      <c r="AT28" s="52">
        <f t="shared" si="18"/>
        <v>0</v>
      </c>
      <c r="AU28" s="52">
        <f t="shared" si="19"/>
        <v>0</v>
      </c>
      <c r="AV28" s="52">
        <f t="shared" si="20"/>
        <v>0</v>
      </c>
      <c r="AW28" s="52">
        <f t="shared" si="21"/>
        <v>0</v>
      </c>
      <c r="AX28" s="49">
        <f t="shared" si="22"/>
        <v>0</v>
      </c>
      <c r="AY28" s="53">
        <f t="shared" si="23"/>
        <v>1</v>
      </c>
      <c r="AZ28" s="51">
        <f t="shared" si="24"/>
        <v>0</v>
      </c>
      <c r="BA28" s="52">
        <f t="shared" si="25"/>
        <v>0</v>
      </c>
      <c r="BB28" s="52">
        <f t="shared" si="26"/>
        <v>0</v>
      </c>
      <c r="BC28" s="52">
        <f t="shared" si="27"/>
        <v>0</v>
      </c>
      <c r="BD28" s="52">
        <f t="shared" si="28"/>
        <v>0</v>
      </c>
      <c r="BE28" s="52">
        <f t="shared" si="29"/>
        <v>0</v>
      </c>
      <c r="BF28" s="52">
        <f t="shared" si="30"/>
        <v>0</v>
      </c>
      <c r="BG28" s="49">
        <f t="shared" si="31"/>
        <v>0</v>
      </c>
      <c r="BH28" s="49">
        <f t="shared" si="32"/>
        <v>1</v>
      </c>
      <c r="BI28" s="100"/>
      <c r="BJ28" s="49"/>
      <c r="BK28" s="49"/>
      <c r="BL28" s="49"/>
      <c r="BM28" s="49"/>
      <c r="BN28" s="49"/>
      <c r="BO28" s="41">
        <f t="shared" si="37"/>
        <v>0</v>
      </c>
      <c r="BP28" s="41">
        <f t="shared" si="38"/>
        <v>0</v>
      </c>
      <c r="BQ28" s="3"/>
      <c r="BR28" s="65">
        <f>'[2]BCH EE Plan'!D$109/1000</f>
        <v>11.039</v>
      </c>
      <c r="BS28" s="40">
        <f>'[2]BCH EE Plan'!E$109/1000</f>
        <v>7.4210000000000003</v>
      </c>
      <c r="BT28" s="40">
        <f>'[2]BCH EE Plan'!F$109/1000</f>
        <v>6.8810000000000002</v>
      </c>
      <c r="BU28" s="41">
        <f>'[2]BCH EE Plan'!G$109/1000</f>
        <v>6.0364712003945025</v>
      </c>
      <c r="BV28" s="123">
        <f t="shared" si="2"/>
        <v>0</v>
      </c>
      <c r="BW28" s="113">
        <f t="shared" si="3"/>
        <v>0</v>
      </c>
      <c r="BX28" s="113">
        <f t="shared" si="4"/>
        <v>0</v>
      </c>
      <c r="BY28" s="113">
        <f t="shared" si="5"/>
        <v>0</v>
      </c>
      <c r="BZ28" s="124" t="e">
        <f t="shared" si="6"/>
        <v>#DIV/0!</v>
      </c>
      <c r="CA28" s="125" t="e">
        <f t="shared" si="7"/>
        <v>#DIV/0!</v>
      </c>
    </row>
    <row r="29" spans="1:79" s="27" customFormat="1">
      <c r="A29" t="s">
        <v>17</v>
      </c>
      <c r="B29" t="s">
        <v>18</v>
      </c>
      <c r="C29" t="s">
        <v>223</v>
      </c>
      <c r="D29" s="36" t="s">
        <v>122</v>
      </c>
      <c r="E29" s="2"/>
      <c r="F29" s="2" t="s">
        <v>122</v>
      </c>
      <c r="G29" s="2"/>
      <c r="H29" s="2"/>
      <c r="I29" s="2"/>
      <c r="J29" s="18"/>
      <c r="K29" s="16"/>
      <c r="L29" s="16"/>
      <c r="M29" s="16"/>
      <c r="N29" s="16"/>
      <c r="O29" s="16"/>
      <c r="P29" s="39">
        <f t="shared" si="8"/>
        <v>3.96</v>
      </c>
      <c r="Q29" s="40">
        <v>3.96</v>
      </c>
      <c r="R29" s="49">
        <v>0</v>
      </c>
      <c r="S29" s="49">
        <v>1</v>
      </c>
      <c r="T29" s="33">
        <f t="shared" si="9"/>
        <v>0</v>
      </c>
      <c r="U29" s="16"/>
      <c r="V29" s="16"/>
      <c r="W29" s="16"/>
      <c r="X29" s="16"/>
      <c r="Y29" s="16"/>
      <c r="Z29" s="16"/>
      <c r="AA29" s="11">
        <f t="shared" si="10"/>
        <v>0.36</v>
      </c>
      <c r="AB29" s="41">
        <v>0.36</v>
      </c>
      <c r="AC29" s="49">
        <v>0</v>
      </c>
      <c r="AD29" s="49">
        <v>1</v>
      </c>
      <c r="AE29" s="33">
        <f t="shared" si="11"/>
        <v>0</v>
      </c>
      <c r="AF29" s="8"/>
      <c r="AG29"/>
      <c r="AH29"/>
      <c r="AI29"/>
      <c r="AJ29"/>
      <c r="AK29"/>
      <c r="AL29" s="11">
        <f t="shared" si="12"/>
        <v>4.1700000000000001E-2</v>
      </c>
      <c r="AM29" s="15">
        <v>4.1700000000000001E-2</v>
      </c>
      <c r="AN29" s="45"/>
      <c r="AO29" s="9" t="str">
        <f t="shared" si="13"/>
        <v>Yes</v>
      </c>
      <c r="AP29" s="48" t="str">
        <f t="shared" si="14"/>
        <v>No</v>
      </c>
      <c r="AQ29" s="51">
        <f t="shared" si="15"/>
        <v>3.2699790062981107</v>
      </c>
      <c r="AR29" s="52">
        <f t="shared" si="16"/>
        <v>0</v>
      </c>
      <c r="AS29" s="52">
        <f t="shared" si="17"/>
        <v>0.69002099370188952</v>
      </c>
      <c r="AT29" s="52">
        <f t="shared" si="18"/>
        <v>0</v>
      </c>
      <c r="AU29" s="52">
        <f t="shared" si="19"/>
        <v>0</v>
      </c>
      <c r="AV29" s="52">
        <f t="shared" si="20"/>
        <v>0</v>
      </c>
      <c r="AW29" s="52">
        <f t="shared" si="21"/>
        <v>3.96</v>
      </c>
      <c r="AX29" s="49">
        <f t="shared" si="22"/>
        <v>0</v>
      </c>
      <c r="AY29" s="53">
        <f t="shared" si="23"/>
        <v>1</v>
      </c>
      <c r="AZ29" s="51">
        <f t="shared" si="24"/>
        <v>0.29727081875437367</v>
      </c>
      <c r="BA29" s="52">
        <f t="shared" si="25"/>
        <v>0</v>
      </c>
      <c r="BB29" s="52">
        <f t="shared" si="26"/>
        <v>6.272918124562632E-2</v>
      </c>
      <c r="BC29" s="52">
        <f t="shared" si="27"/>
        <v>0</v>
      </c>
      <c r="BD29" s="52">
        <f t="shared" si="28"/>
        <v>0</v>
      </c>
      <c r="BE29" s="52">
        <f t="shared" si="29"/>
        <v>0</v>
      </c>
      <c r="BF29" s="52">
        <f t="shared" si="30"/>
        <v>0.36</v>
      </c>
      <c r="BG29" s="49">
        <f t="shared" si="31"/>
        <v>0</v>
      </c>
      <c r="BH29" s="49">
        <f t="shared" si="32"/>
        <v>1</v>
      </c>
      <c r="BI29" s="100">
        <f>BI$52/SUM($BK$52,$BI$52)</f>
        <v>0.8257522743177047</v>
      </c>
      <c r="BJ29" s="49"/>
      <c r="BK29" s="49">
        <f>BK$52/SUM($BK$52,$BI$52)</f>
        <v>0.17424772568229532</v>
      </c>
      <c r="BL29" s="49"/>
      <c r="BM29" s="49"/>
      <c r="BN29" s="49"/>
      <c r="BO29" s="41">
        <f t="shared" si="37"/>
        <v>3.96</v>
      </c>
      <c r="BP29" s="41">
        <f t="shared" si="38"/>
        <v>0.36</v>
      </c>
      <c r="BQ29" s="40" t="s">
        <v>87</v>
      </c>
      <c r="BR29" s="66">
        <f>[5]Sheet1!W8/1000</f>
        <v>7.8E-2</v>
      </c>
      <c r="BS29" s="41">
        <f>[5]Sheet1!X8/1000</f>
        <v>2.63E-2</v>
      </c>
      <c r="BT29" s="41">
        <f>[5]Sheet1!Y8/1000</f>
        <v>4.4999999999999998E-2</v>
      </c>
      <c r="BU29" s="41">
        <f>[5]Sheet1!Z8/1000</f>
        <v>4.1700000000000001E-2</v>
      </c>
      <c r="BV29" s="123">
        <f t="shared" si="2"/>
        <v>7.1999999999999993</v>
      </c>
      <c r="BW29" s="113">
        <f t="shared" si="3"/>
        <v>4.1291716386834949</v>
      </c>
      <c r="BX29" s="113">
        <f t="shared" si="4"/>
        <v>719.99999999999989</v>
      </c>
      <c r="BY29" s="113">
        <f t="shared" si="5"/>
        <v>412.91716386834946</v>
      </c>
      <c r="BZ29" s="124">
        <f t="shared" si="6"/>
        <v>10.098877849818621</v>
      </c>
      <c r="CA29" s="125">
        <f t="shared" si="7"/>
        <v>100.98877849818621</v>
      </c>
    </row>
    <row r="30" spans="1:79" s="27" customFormat="1">
      <c r="A30" t="s">
        <v>19</v>
      </c>
      <c r="B30" t="s">
        <v>18</v>
      </c>
      <c r="C30" t="s">
        <v>223</v>
      </c>
      <c r="D30" s="36"/>
      <c r="E30" s="2" t="s">
        <v>122</v>
      </c>
      <c r="F30" s="2"/>
      <c r="G30" s="2" t="s">
        <v>122</v>
      </c>
      <c r="H30" s="2"/>
      <c r="I30" s="2"/>
      <c r="J30" s="18"/>
      <c r="K30" s="16"/>
      <c r="L30" s="16"/>
      <c r="M30" s="16"/>
      <c r="N30" s="16"/>
      <c r="O30" s="16"/>
      <c r="P30" s="39">
        <f t="shared" si="8"/>
        <v>15.84</v>
      </c>
      <c r="Q30" s="40">
        <v>15.84</v>
      </c>
      <c r="R30" s="49">
        <v>0</v>
      </c>
      <c r="S30" s="49">
        <v>1</v>
      </c>
      <c r="T30" s="33">
        <f t="shared" si="9"/>
        <v>0</v>
      </c>
      <c r="U30" s="16"/>
      <c r="V30" s="16"/>
      <c r="W30" s="16"/>
      <c r="X30" s="16"/>
      <c r="Y30" s="16"/>
      <c r="Z30" s="16"/>
      <c r="AA30" s="11">
        <f t="shared" si="10"/>
        <v>4.32</v>
      </c>
      <c r="AB30" s="41">
        <v>4.32</v>
      </c>
      <c r="AC30" s="49">
        <v>0</v>
      </c>
      <c r="AD30" s="49">
        <v>1</v>
      </c>
      <c r="AE30" s="33">
        <f t="shared" si="11"/>
        <v>0</v>
      </c>
      <c r="AF30" s="8"/>
      <c r="AG30"/>
      <c r="AH30"/>
      <c r="AI30"/>
      <c r="AJ30"/>
      <c r="AK30"/>
      <c r="AL30" s="11">
        <f t="shared" si="12"/>
        <v>0.3175</v>
      </c>
      <c r="AM30" s="15">
        <v>0.3175</v>
      </c>
      <c r="AN30" s="45"/>
      <c r="AO30" s="9" t="str">
        <f t="shared" si="13"/>
        <v>Yes</v>
      </c>
      <c r="AP30" s="48" t="str">
        <f t="shared" si="14"/>
        <v>No</v>
      </c>
      <c r="AQ30" s="51">
        <f t="shared" si="15"/>
        <v>0</v>
      </c>
      <c r="AR30" s="52">
        <f t="shared" si="16"/>
        <v>13.15863739456551</v>
      </c>
      <c r="AS30" s="52">
        <f t="shared" si="17"/>
        <v>0</v>
      </c>
      <c r="AT30" s="52">
        <f t="shared" si="18"/>
        <v>2.681362605434491</v>
      </c>
      <c r="AU30" s="52">
        <f t="shared" si="19"/>
        <v>0</v>
      </c>
      <c r="AV30" s="52">
        <f t="shared" si="20"/>
        <v>0</v>
      </c>
      <c r="AW30" s="52">
        <f t="shared" si="21"/>
        <v>15.84</v>
      </c>
      <c r="AX30" s="49">
        <f t="shared" si="22"/>
        <v>0</v>
      </c>
      <c r="AY30" s="53">
        <f t="shared" si="23"/>
        <v>1</v>
      </c>
      <c r="AZ30" s="51">
        <f t="shared" si="24"/>
        <v>0</v>
      </c>
      <c r="BA30" s="52">
        <f t="shared" si="25"/>
        <v>3.5887192894269573</v>
      </c>
      <c r="BB30" s="52">
        <f t="shared" si="26"/>
        <v>0</v>
      </c>
      <c r="BC30" s="52">
        <f t="shared" si="27"/>
        <v>0.731280710573043</v>
      </c>
      <c r="BD30" s="52">
        <f t="shared" si="28"/>
        <v>0</v>
      </c>
      <c r="BE30" s="52">
        <f t="shared" si="29"/>
        <v>0</v>
      </c>
      <c r="BF30" s="52">
        <f t="shared" si="30"/>
        <v>4.32</v>
      </c>
      <c r="BG30" s="49">
        <f t="shared" si="31"/>
        <v>0</v>
      </c>
      <c r="BH30" s="49">
        <f t="shared" si="32"/>
        <v>1</v>
      </c>
      <c r="BI30" s="100"/>
      <c r="BJ30" s="49">
        <f>BJ52/($BJ$52+$BL$52)</f>
        <v>0.83072205773772156</v>
      </c>
      <c r="BK30" s="49"/>
      <c r="BL30" s="49">
        <f>BL52/($BJ$52+$BL$52)</f>
        <v>0.16927794226227846</v>
      </c>
      <c r="BM30" s="49"/>
      <c r="BN30" s="49"/>
      <c r="BO30" s="41">
        <f t="shared" si="37"/>
        <v>15.84</v>
      </c>
      <c r="BP30" s="41">
        <f t="shared" si="38"/>
        <v>4.32</v>
      </c>
      <c r="BQ30" s="40" t="s">
        <v>87</v>
      </c>
      <c r="BR30" s="66">
        <f>[5]Sheet1!W9/1000</f>
        <v>8.6999999999999994E-2</v>
      </c>
      <c r="BS30" s="41">
        <f>[5]Sheet1!X9/1000</f>
        <v>0.14599999999999999</v>
      </c>
      <c r="BT30" s="41">
        <f>[5]Sheet1!Y9/1000</f>
        <v>0.37</v>
      </c>
      <c r="BU30" s="41">
        <f>[5]Sheet1!Z9/1000</f>
        <v>0.3175</v>
      </c>
      <c r="BV30" s="123">
        <f t="shared" si="2"/>
        <v>86.4</v>
      </c>
      <c r="BW30" s="113">
        <f t="shared" si="3"/>
        <v>49.550059664201939</v>
      </c>
      <c r="BX30" s="113">
        <f t="shared" si="4"/>
        <v>8640</v>
      </c>
      <c r="BY30" s="113">
        <f t="shared" si="5"/>
        <v>4955.0059664201935</v>
      </c>
      <c r="BZ30" s="124">
        <f t="shared" si="6"/>
        <v>6.4076613055903513</v>
      </c>
      <c r="CA30" s="125">
        <f t="shared" si="7"/>
        <v>64.076613055903522</v>
      </c>
    </row>
    <row r="31" spans="1:79" s="27" customFormat="1">
      <c r="A31" t="s">
        <v>143</v>
      </c>
      <c r="B31" t="s">
        <v>18</v>
      </c>
      <c r="C31" t="s">
        <v>223</v>
      </c>
      <c r="D31" s="9" t="s">
        <v>122</v>
      </c>
      <c r="E31" s="1" t="s">
        <v>122</v>
      </c>
      <c r="F31" s="1" t="s">
        <v>122</v>
      </c>
      <c r="G31" s="1" t="s">
        <v>122</v>
      </c>
      <c r="H31" s="1"/>
      <c r="I31" s="1"/>
      <c r="J31" s="18"/>
      <c r="K31" s="16"/>
      <c r="L31" s="16"/>
      <c r="M31" s="16"/>
      <c r="N31" s="16"/>
      <c r="O31" s="16"/>
      <c r="P31" s="39">
        <f t="shared" si="8"/>
        <v>80.28</v>
      </c>
      <c r="Q31" s="40">
        <v>80.28</v>
      </c>
      <c r="R31" s="49">
        <v>0</v>
      </c>
      <c r="S31" s="49">
        <v>1</v>
      </c>
      <c r="T31" s="33">
        <f t="shared" si="9"/>
        <v>0</v>
      </c>
      <c r="U31" s="16"/>
      <c r="V31" s="16"/>
      <c r="W31" s="16"/>
      <c r="X31" s="16"/>
      <c r="Y31" s="16"/>
      <c r="Z31" s="16"/>
      <c r="AA31" s="11">
        <f t="shared" si="10"/>
        <v>21.96</v>
      </c>
      <c r="AB31" s="41">
        <v>21.96</v>
      </c>
      <c r="AC31" s="49">
        <v>0</v>
      </c>
      <c r="AD31" s="49">
        <v>1</v>
      </c>
      <c r="AE31" s="33">
        <f t="shared" si="11"/>
        <v>0</v>
      </c>
      <c r="AF31" s="8"/>
      <c r="AG31"/>
      <c r="AH31"/>
      <c r="AI31"/>
      <c r="AJ31"/>
      <c r="AK31"/>
      <c r="AL31" s="11">
        <f t="shared" si="12"/>
        <v>0.67310000000000003</v>
      </c>
      <c r="AM31" s="15">
        <v>0.67310000000000003</v>
      </c>
      <c r="AN31" s="45"/>
      <c r="AO31" s="9" t="str">
        <f t="shared" si="13"/>
        <v>Yes</v>
      </c>
      <c r="AP31" s="48" t="str">
        <f t="shared" si="14"/>
        <v>No</v>
      </c>
      <c r="AQ31" s="51">
        <f t="shared" si="15"/>
        <v>26.950223586100396</v>
      </c>
      <c r="AR31" s="52">
        <f t="shared" si="16"/>
        <v>39.850595490564281</v>
      </c>
      <c r="AS31" s="52">
        <f t="shared" si="17"/>
        <v>4.113415296373117</v>
      </c>
      <c r="AT31" s="52">
        <f t="shared" si="18"/>
        <v>9.3657656269622009</v>
      </c>
      <c r="AU31" s="52">
        <f t="shared" si="19"/>
        <v>0</v>
      </c>
      <c r="AV31" s="52">
        <f t="shared" si="20"/>
        <v>0</v>
      </c>
      <c r="AW31" s="52">
        <f t="shared" si="21"/>
        <v>80.28</v>
      </c>
      <c r="AX31" s="49">
        <f t="shared" si="22"/>
        <v>0</v>
      </c>
      <c r="AY31" s="53">
        <f t="shared" si="23"/>
        <v>1</v>
      </c>
      <c r="AZ31" s="51">
        <f t="shared" si="24"/>
        <v>7.3720342544938307</v>
      </c>
      <c r="BA31" s="52">
        <f t="shared" si="25"/>
        <v>10.900835537777674</v>
      </c>
      <c r="BB31" s="52">
        <f t="shared" si="26"/>
        <v>1.1251943187388347</v>
      </c>
      <c r="BC31" s="52">
        <f t="shared" si="27"/>
        <v>2.5619358889896602</v>
      </c>
      <c r="BD31" s="52">
        <f t="shared" si="28"/>
        <v>0</v>
      </c>
      <c r="BE31" s="52">
        <f t="shared" si="29"/>
        <v>0</v>
      </c>
      <c r="BF31" s="52">
        <f t="shared" si="30"/>
        <v>21.959999999999997</v>
      </c>
      <c r="BG31" s="49">
        <f t="shared" si="31"/>
        <v>0</v>
      </c>
      <c r="BH31" s="49">
        <f t="shared" si="32"/>
        <v>1</v>
      </c>
      <c r="BI31" s="100">
        <f>BI$53/SUM($BI$53:$BL$53)</f>
        <v>0.33570283490409064</v>
      </c>
      <c r="BJ31" s="49">
        <f>BJ$53/SUM($BI$53:$BL$53)</f>
        <v>0.49639506091883762</v>
      </c>
      <c r="BK31" s="49">
        <f>BK$53/SUM($BI$53:$BL$53)</f>
        <v>5.1238356955320342E-2</v>
      </c>
      <c r="BL31" s="49">
        <f>BL$53/SUM($BI$53:$BL$53)</f>
        <v>0.11666374722175138</v>
      </c>
      <c r="BM31" s="49"/>
      <c r="BN31" s="49"/>
      <c r="BO31" s="41">
        <f t="shared" si="37"/>
        <v>80.28</v>
      </c>
      <c r="BP31" s="41">
        <f t="shared" si="38"/>
        <v>21.96</v>
      </c>
      <c r="BQ31" s="41" t="s">
        <v>88</v>
      </c>
      <c r="BR31" s="66">
        <f>[5]Sheet1!W10/1000</f>
        <v>0.32500000000000001</v>
      </c>
      <c r="BS31" s="41">
        <f>[5]Sheet1!X10/1000</f>
        <v>0.38300000000000001</v>
      </c>
      <c r="BT31" s="41">
        <f>[5]Sheet1!Y10/1000</f>
        <v>0.49</v>
      </c>
      <c r="BU31" s="41">
        <f>[5]Sheet1!Z10/1000</f>
        <v>0.67310000000000003</v>
      </c>
      <c r="BV31" s="123">
        <f t="shared" si="2"/>
        <v>439.20000000000005</v>
      </c>
      <c r="BW31" s="113">
        <f t="shared" si="3"/>
        <v>251.87946995969318</v>
      </c>
      <c r="BX31" s="113">
        <f t="shared" si="4"/>
        <v>43920.000000000007</v>
      </c>
      <c r="BY31" s="113">
        <f t="shared" si="5"/>
        <v>25187.94699596932</v>
      </c>
      <c r="BZ31" s="124">
        <f t="shared" si="6"/>
        <v>2.6723098953150579</v>
      </c>
      <c r="CA31" s="125">
        <f t="shared" si="7"/>
        <v>26.723098953150579</v>
      </c>
    </row>
    <row r="32" spans="1:79" s="27" customFormat="1">
      <c r="A32" t="s">
        <v>144</v>
      </c>
      <c r="B32" t="s">
        <v>18</v>
      </c>
      <c r="C32" t="s">
        <v>223</v>
      </c>
      <c r="D32" s="9" t="s">
        <v>122</v>
      </c>
      <c r="E32" s="1" t="s">
        <v>122</v>
      </c>
      <c r="F32" s="1" t="s">
        <v>122</v>
      </c>
      <c r="G32" s="1" t="s">
        <v>122</v>
      </c>
      <c r="H32" s="1"/>
      <c r="I32" s="1"/>
      <c r="J32" s="18"/>
      <c r="K32" s="16"/>
      <c r="L32" s="16"/>
      <c r="M32" s="16"/>
      <c r="N32" s="16"/>
      <c r="O32" s="16"/>
      <c r="P32" s="39">
        <f t="shared" si="8"/>
        <v>28.08</v>
      </c>
      <c r="Q32" s="40">
        <v>28.08</v>
      </c>
      <c r="R32" s="49">
        <v>0</v>
      </c>
      <c r="S32" s="49">
        <v>1</v>
      </c>
      <c r="T32" s="33">
        <f t="shared" si="9"/>
        <v>0</v>
      </c>
      <c r="U32" s="16"/>
      <c r="V32" s="16"/>
      <c r="W32" s="16"/>
      <c r="X32" s="16"/>
      <c r="Y32" s="16"/>
      <c r="Z32" s="16"/>
      <c r="AA32" s="11">
        <f t="shared" si="10"/>
        <v>7.2</v>
      </c>
      <c r="AB32" s="41">
        <v>7.2</v>
      </c>
      <c r="AC32" s="49">
        <v>0</v>
      </c>
      <c r="AD32" s="49">
        <v>1</v>
      </c>
      <c r="AE32" s="33">
        <f t="shared" si="11"/>
        <v>0</v>
      </c>
      <c r="AF32" s="8"/>
      <c r="AG32"/>
      <c r="AH32"/>
      <c r="AI32"/>
      <c r="AJ32"/>
      <c r="AK32"/>
      <c r="AL32" s="11">
        <f t="shared" si="12"/>
        <v>0.13169999999999998</v>
      </c>
      <c r="AM32" s="15">
        <v>0.13169999999999998</v>
      </c>
      <c r="AN32" s="45"/>
      <c r="AO32" s="9" t="str">
        <f t="shared" si="13"/>
        <v>Yes</v>
      </c>
      <c r="AP32" s="48" t="str">
        <f t="shared" si="14"/>
        <v>No</v>
      </c>
      <c r="AQ32" s="51">
        <f t="shared" si="15"/>
        <v>21.249931055136056</v>
      </c>
      <c r="AR32" s="52">
        <f t="shared" si="16"/>
        <v>1.9488517870340518</v>
      </c>
      <c r="AS32" s="52">
        <f t="shared" si="17"/>
        <v>4.4840956209566754</v>
      </c>
      <c r="AT32" s="52">
        <f t="shared" si="18"/>
        <v>0.39712153687322077</v>
      </c>
      <c r="AU32" s="52">
        <f t="shared" si="19"/>
        <v>0</v>
      </c>
      <c r="AV32" s="52">
        <f t="shared" si="20"/>
        <v>0</v>
      </c>
      <c r="AW32" s="52">
        <f t="shared" si="21"/>
        <v>28.080000000000005</v>
      </c>
      <c r="AX32" s="49">
        <f t="shared" si="22"/>
        <v>0</v>
      </c>
      <c r="AY32" s="53">
        <f t="shared" si="23"/>
        <v>1</v>
      </c>
      <c r="AZ32" s="51">
        <f t="shared" si="24"/>
        <v>5.4487002705477066</v>
      </c>
      <c r="BA32" s="52">
        <f t="shared" si="25"/>
        <v>0.49970558641898766</v>
      </c>
      <c r="BB32" s="52">
        <f t="shared" si="26"/>
        <v>1.1497681079376092</v>
      </c>
      <c r="BC32" s="52">
        <f t="shared" si="27"/>
        <v>0.10182603509569764</v>
      </c>
      <c r="BD32" s="52">
        <f t="shared" si="28"/>
        <v>0</v>
      </c>
      <c r="BE32" s="52">
        <f t="shared" si="29"/>
        <v>0</v>
      </c>
      <c r="BF32" s="52">
        <f t="shared" si="30"/>
        <v>7.2000000000000011</v>
      </c>
      <c r="BG32" s="49">
        <f t="shared" si="31"/>
        <v>0</v>
      </c>
      <c r="BH32" s="49">
        <f t="shared" si="32"/>
        <v>1</v>
      </c>
      <c r="BI32" s="100">
        <f>BI$52/SUM($BI$52:$BL$52)</f>
        <v>0.75676392646495927</v>
      </c>
      <c r="BJ32" s="49">
        <f>BJ$52/SUM($BI$52:$BL$52)</f>
        <v>6.9403553669303841E-2</v>
      </c>
      <c r="BK32" s="49">
        <f>BK$52/SUM($BI$52:$BL$52)</f>
        <v>0.15969001499133462</v>
      </c>
      <c r="BL32" s="49">
        <f>BL$52/SUM($BI$52:$BL$52)</f>
        <v>1.414250487440245E-2</v>
      </c>
      <c r="BM32" s="49"/>
      <c r="BN32" s="49"/>
      <c r="BO32" s="41">
        <f t="shared" si="37"/>
        <v>28.08</v>
      </c>
      <c r="BP32" s="41">
        <f t="shared" si="38"/>
        <v>7.2</v>
      </c>
      <c r="BQ32" s="40" t="s">
        <v>87</v>
      </c>
      <c r="BR32" s="66">
        <f>[5]Sheet1!W11/1000</f>
        <v>5.2999999999999999E-2</v>
      </c>
      <c r="BS32" s="41">
        <f>[5]Sheet1!X11/1000</f>
        <v>0.1134</v>
      </c>
      <c r="BT32" s="41">
        <f>[5]Sheet1!Y11/1000</f>
        <v>0.189</v>
      </c>
      <c r="BU32" s="41">
        <f>[5]Sheet1!Z11/1000</f>
        <v>0.13169999999999998</v>
      </c>
      <c r="BV32" s="123">
        <f t="shared" si="2"/>
        <v>144</v>
      </c>
      <c r="BW32" s="113">
        <f t="shared" si="3"/>
        <v>82.583432773669884</v>
      </c>
      <c r="BX32" s="113">
        <f t="shared" si="4"/>
        <v>14400</v>
      </c>
      <c r="BY32" s="113">
        <f t="shared" si="5"/>
        <v>8258.3432773669883</v>
      </c>
      <c r="BZ32" s="124">
        <f t="shared" si="6"/>
        <v>1.5947508547015734</v>
      </c>
      <c r="CA32" s="125">
        <f t="shared" si="7"/>
        <v>15.947508547015733</v>
      </c>
    </row>
    <row r="33" spans="1:79" s="27" customFormat="1">
      <c r="A33" t="s">
        <v>36</v>
      </c>
      <c r="B33" t="s">
        <v>18</v>
      </c>
      <c r="C33" t="s">
        <v>223</v>
      </c>
      <c r="D33" s="9"/>
      <c r="E33" s="1"/>
      <c r="F33" s="1"/>
      <c r="G33" s="1"/>
      <c r="H33" s="1" t="s">
        <v>122</v>
      </c>
      <c r="I33" s="1" t="s">
        <v>122</v>
      </c>
      <c r="J33" s="18"/>
      <c r="K33" s="16"/>
      <c r="L33" s="16"/>
      <c r="M33" s="16"/>
      <c r="N33" s="16"/>
      <c r="O33" s="16"/>
      <c r="P33" s="39">
        <f t="shared" si="8"/>
        <v>132.12</v>
      </c>
      <c r="Q33" s="40">
        <v>132.12</v>
      </c>
      <c r="R33" s="49">
        <v>0</v>
      </c>
      <c r="S33" s="49">
        <v>1</v>
      </c>
      <c r="T33" s="33">
        <f t="shared" si="9"/>
        <v>0</v>
      </c>
      <c r="U33" s="16"/>
      <c r="V33" s="16"/>
      <c r="W33" s="16"/>
      <c r="X33" s="16"/>
      <c r="Y33" s="16"/>
      <c r="Z33" s="16"/>
      <c r="AA33" s="11">
        <f t="shared" si="10"/>
        <v>32.76</v>
      </c>
      <c r="AB33" s="41">
        <v>32.76</v>
      </c>
      <c r="AC33" s="49">
        <v>0</v>
      </c>
      <c r="AD33" s="49">
        <v>1</v>
      </c>
      <c r="AE33" s="33">
        <f t="shared" si="11"/>
        <v>0</v>
      </c>
      <c r="AF33" s="8"/>
      <c r="AG33"/>
      <c r="AH33"/>
      <c r="AI33"/>
      <c r="AJ33"/>
      <c r="AK33"/>
      <c r="AL33" s="11">
        <f t="shared" si="12"/>
        <v>0.74239999999999995</v>
      </c>
      <c r="AM33" s="15">
        <v>0.74239999999999995</v>
      </c>
      <c r="AN33" s="45"/>
      <c r="AO33" s="9" t="str">
        <f t="shared" si="13"/>
        <v>Yes</v>
      </c>
      <c r="AP33" s="48" t="str">
        <f t="shared" si="14"/>
        <v>No</v>
      </c>
      <c r="AQ33" s="51">
        <f t="shared" si="15"/>
        <v>0</v>
      </c>
      <c r="AR33" s="52">
        <f t="shared" si="16"/>
        <v>0</v>
      </c>
      <c r="AS33" s="52">
        <f t="shared" si="17"/>
        <v>0</v>
      </c>
      <c r="AT33" s="52">
        <f t="shared" si="18"/>
        <v>0</v>
      </c>
      <c r="AU33" s="52">
        <f t="shared" si="19"/>
        <v>125.32207208281382</v>
      </c>
      <c r="AV33" s="52">
        <f t="shared" si="20"/>
        <v>6.7979279171862048</v>
      </c>
      <c r="AW33" s="52">
        <f t="shared" si="21"/>
        <v>132.12000000000003</v>
      </c>
      <c r="AX33" s="49">
        <f t="shared" si="22"/>
        <v>0</v>
      </c>
      <c r="AY33" s="53">
        <f t="shared" si="23"/>
        <v>1</v>
      </c>
      <c r="AZ33" s="51">
        <f t="shared" si="24"/>
        <v>0</v>
      </c>
      <c r="BA33" s="52">
        <f t="shared" si="25"/>
        <v>0</v>
      </c>
      <c r="BB33" s="52">
        <f t="shared" si="26"/>
        <v>0</v>
      </c>
      <c r="BC33" s="52">
        <f t="shared" si="27"/>
        <v>0</v>
      </c>
      <c r="BD33" s="52">
        <f t="shared" si="28"/>
        <v>31.074410243967456</v>
      </c>
      <c r="BE33" s="52">
        <f t="shared" si="29"/>
        <v>1.6855897560325463</v>
      </c>
      <c r="BF33" s="52">
        <f t="shared" si="30"/>
        <v>32.760000000000005</v>
      </c>
      <c r="BG33" s="49">
        <f t="shared" si="31"/>
        <v>0</v>
      </c>
      <c r="BH33" s="49">
        <f t="shared" si="32"/>
        <v>1</v>
      </c>
      <c r="BI33" s="100"/>
      <c r="BJ33" s="49"/>
      <c r="BK33" s="49"/>
      <c r="BL33" s="49"/>
      <c r="BM33" s="49">
        <f>BM52/($BM$52+$BN$52)</f>
        <v>0.94854732124442787</v>
      </c>
      <c r="BN33" s="49">
        <f>BN52/($BM$52+$BN$52)</f>
        <v>5.1452678755572238E-2</v>
      </c>
      <c r="BO33" s="41">
        <f t="shared" si="37"/>
        <v>132.12</v>
      </c>
      <c r="BP33" s="41">
        <f t="shared" si="38"/>
        <v>32.76</v>
      </c>
      <c r="BQ33" s="40" t="s">
        <v>87</v>
      </c>
      <c r="BR33" s="66">
        <f>[5]Sheet1!W15/1000</f>
        <v>0.69499999999999995</v>
      </c>
      <c r="BS33" s="41">
        <f>[5]Sheet1!X15/1000</f>
        <v>0.57920000000000005</v>
      </c>
      <c r="BT33" s="41">
        <f>[5]Sheet1!Y15/1000</f>
        <v>0.52500000000000002</v>
      </c>
      <c r="BU33" s="41">
        <f>[5]Sheet1!Z15/1000</f>
        <v>0.74239999999999995</v>
      </c>
      <c r="BV33" s="123">
        <f t="shared" si="2"/>
        <v>655.19999999999993</v>
      </c>
      <c r="BW33" s="113">
        <f t="shared" si="3"/>
        <v>375.75461912019796</v>
      </c>
      <c r="BX33" s="113">
        <f t="shared" si="4"/>
        <v>65519.999999999993</v>
      </c>
      <c r="BY33" s="113">
        <f t="shared" si="5"/>
        <v>37575.461912019797</v>
      </c>
      <c r="BZ33" s="124">
        <f t="shared" si="6"/>
        <v>1.9757574816732137</v>
      </c>
      <c r="CA33" s="125">
        <f t="shared" si="7"/>
        <v>19.757574816732138</v>
      </c>
    </row>
    <row r="34" spans="1:79" s="27" customFormat="1">
      <c r="A34" t="s">
        <v>35</v>
      </c>
      <c r="B34" t="s">
        <v>18</v>
      </c>
      <c r="C34" t="s">
        <v>223</v>
      </c>
      <c r="D34" s="9"/>
      <c r="E34" s="1"/>
      <c r="F34" s="1"/>
      <c r="G34" s="1"/>
      <c r="H34" s="1" t="s">
        <v>122</v>
      </c>
      <c r="I34" s="1" t="s">
        <v>122</v>
      </c>
      <c r="J34" s="18"/>
      <c r="K34" s="16"/>
      <c r="L34" s="16"/>
      <c r="M34" s="16"/>
      <c r="N34" s="16"/>
      <c r="O34" s="16"/>
      <c r="P34" s="39">
        <f t="shared" si="8"/>
        <v>55.8</v>
      </c>
      <c r="Q34" s="40">
        <v>55.8</v>
      </c>
      <c r="R34" s="49">
        <v>0</v>
      </c>
      <c r="S34" s="49">
        <v>1</v>
      </c>
      <c r="T34" s="33">
        <f t="shared" si="9"/>
        <v>0</v>
      </c>
      <c r="U34" s="16"/>
      <c r="V34" s="16"/>
      <c r="W34" s="16"/>
      <c r="X34" s="16"/>
      <c r="Y34" s="16"/>
      <c r="Z34" s="16"/>
      <c r="AA34" s="11">
        <f t="shared" si="10"/>
        <v>11.88</v>
      </c>
      <c r="AB34" s="41">
        <v>11.88</v>
      </c>
      <c r="AC34" s="49">
        <v>0</v>
      </c>
      <c r="AD34" s="49">
        <v>1</v>
      </c>
      <c r="AE34" s="33">
        <f t="shared" si="11"/>
        <v>0</v>
      </c>
      <c r="AF34" s="8"/>
      <c r="AG34"/>
      <c r="AH34"/>
      <c r="AI34"/>
      <c r="AJ34"/>
      <c r="AK34"/>
      <c r="AL34" s="11">
        <f t="shared" si="12"/>
        <v>0.28170000000000001</v>
      </c>
      <c r="AM34" s="15">
        <v>0.28170000000000001</v>
      </c>
      <c r="AN34" s="45"/>
      <c r="AO34" s="9" t="str">
        <f t="shared" si="13"/>
        <v>Yes</v>
      </c>
      <c r="AP34" s="48" t="str">
        <f t="shared" si="14"/>
        <v>No</v>
      </c>
      <c r="AQ34" s="51">
        <f t="shared" si="15"/>
        <v>0</v>
      </c>
      <c r="AR34" s="52">
        <f t="shared" si="16"/>
        <v>0</v>
      </c>
      <c r="AS34" s="52">
        <f t="shared" si="17"/>
        <v>0</v>
      </c>
      <c r="AT34" s="52">
        <f t="shared" si="18"/>
        <v>0</v>
      </c>
      <c r="AU34" s="52">
        <f t="shared" si="19"/>
        <v>52.928940525439074</v>
      </c>
      <c r="AV34" s="52">
        <f t="shared" si="20"/>
        <v>2.8710594745609308</v>
      </c>
      <c r="AW34" s="52">
        <f t="shared" si="21"/>
        <v>55.800000000000004</v>
      </c>
      <c r="AX34" s="49">
        <f t="shared" si="22"/>
        <v>0</v>
      </c>
      <c r="AY34" s="53">
        <f t="shared" si="23"/>
        <v>1</v>
      </c>
      <c r="AZ34" s="51">
        <f t="shared" si="24"/>
        <v>0</v>
      </c>
      <c r="BA34" s="52">
        <f t="shared" si="25"/>
        <v>0</v>
      </c>
      <c r="BB34" s="52">
        <f t="shared" si="26"/>
        <v>0</v>
      </c>
      <c r="BC34" s="52">
        <f t="shared" si="27"/>
        <v>0</v>
      </c>
      <c r="BD34" s="52">
        <f t="shared" si="28"/>
        <v>11.268742176383803</v>
      </c>
      <c r="BE34" s="52">
        <f t="shared" si="29"/>
        <v>0.61125782361619818</v>
      </c>
      <c r="BF34" s="52">
        <f t="shared" si="30"/>
        <v>11.88</v>
      </c>
      <c r="BG34" s="49">
        <f t="shared" si="31"/>
        <v>0</v>
      </c>
      <c r="BH34" s="49">
        <f t="shared" si="32"/>
        <v>1</v>
      </c>
      <c r="BI34" s="100"/>
      <c r="BJ34" s="49"/>
      <c r="BK34" s="49"/>
      <c r="BL34" s="49"/>
      <c r="BM34" s="49">
        <f>BM52/($BM$52+$BN$52)</f>
        <v>0.94854732124442787</v>
      </c>
      <c r="BN34" s="49">
        <f>BN52/($BM$52+$BN$52)</f>
        <v>5.1452678755572238E-2</v>
      </c>
      <c r="BO34" s="41">
        <f t="shared" si="37"/>
        <v>55.8</v>
      </c>
      <c r="BP34" s="41">
        <f t="shared" si="38"/>
        <v>11.88</v>
      </c>
      <c r="BQ34" s="40" t="s">
        <v>87</v>
      </c>
      <c r="BR34" s="66">
        <f>[5]Sheet1!W16/1000</f>
        <v>0.193</v>
      </c>
      <c r="BS34" s="41">
        <f>[5]Sheet1!X16/1000</f>
        <v>0.3175</v>
      </c>
      <c r="BT34" s="41">
        <f>[5]Sheet1!Y16/1000</f>
        <v>0.27600000000000002</v>
      </c>
      <c r="BU34" s="41">
        <f>[5]Sheet1!Z16/1000</f>
        <v>0.28170000000000001</v>
      </c>
      <c r="BV34" s="123">
        <f t="shared" si="2"/>
        <v>237.60000000000002</v>
      </c>
      <c r="BW34" s="113">
        <f t="shared" si="3"/>
        <v>136.26266407655532</v>
      </c>
      <c r="BX34" s="113">
        <f t="shared" si="4"/>
        <v>23760.000000000004</v>
      </c>
      <c r="BY34" s="113">
        <f t="shared" si="5"/>
        <v>13626.266407655532</v>
      </c>
      <c r="BZ34" s="124">
        <f t="shared" si="6"/>
        <v>2.0673307828601888</v>
      </c>
      <c r="CA34" s="125">
        <f t="shared" si="7"/>
        <v>20.673307828601885</v>
      </c>
    </row>
    <row r="35" spans="1:79" s="27" customFormat="1">
      <c r="A35" s="3" t="s">
        <v>29</v>
      </c>
      <c r="B35" t="s">
        <v>18</v>
      </c>
      <c r="C35" t="s">
        <v>223</v>
      </c>
      <c r="D35" s="9" t="s">
        <v>122</v>
      </c>
      <c r="E35" s="1" t="s">
        <v>122</v>
      </c>
      <c r="F35" s="1"/>
      <c r="G35" s="1"/>
      <c r="H35" s="1"/>
      <c r="I35" s="1"/>
      <c r="J35" s="18"/>
      <c r="K35" s="16"/>
      <c r="L35" s="16"/>
      <c r="M35" s="16"/>
      <c r="N35" s="16"/>
      <c r="O35" s="16"/>
      <c r="P35" s="11">
        <f t="shared" ref="P35:P51" si="39">SUM(J35:O35,Q35)</f>
        <v>0.4032</v>
      </c>
      <c r="Q35" s="41">
        <f>AB35</f>
        <v>0.4032</v>
      </c>
      <c r="R35" s="49">
        <v>0</v>
      </c>
      <c r="S35" s="49">
        <v>1</v>
      </c>
      <c r="T35" s="33">
        <f t="shared" ref="T35:T51" si="40">1-R35-S35</f>
        <v>0</v>
      </c>
      <c r="U35" s="16"/>
      <c r="V35" s="16"/>
      <c r="W35" s="16"/>
      <c r="X35" s="16"/>
      <c r="Y35" s="16"/>
      <c r="Z35" s="16"/>
      <c r="AA35" s="11">
        <f t="shared" ref="AA35:AA52" si="41">SUM(U35:Z35,AB35)</f>
        <v>0.4032</v>
      </c>
      <c r="AB35" s="41">
        <f xml:space="preserve"> 112*3600/1000000</f>
        <v>0.4032</v>
      </c>
      <c r="AC35" s="49">
        <v>0</v>
      </c>
      <c r="AD35" s="49">
        <v>1</v>
      </c>
      <c r="AE35" s="33">
        <f t="shared" ref="AE35:AE51" si="42">1-AC35-AD35</f>
        <v>0</v>
      </c>
      <c r="AF35" s="8"/>
      <c r="AG35"/>
      <c r="AH35"/>
      <c r="AI35"/>
      <c r="AJ35"/>
      <c r="AK35"/>
      <c r="AL35" s="11">
        <f t="shared" ref="AL35:AL52" si="43">SUM(AF35:AK35,AM35)</f>
        <v>1.9800000000000002E-2</v>
      </c>
      <c r="AM35" s="15">
        <f>19800/1000000</f>
        <v>1.9800000000000002E-2</v>
      </c>
      <c r="AN35" s="45" t="s">
        <v>122</v>
      </c>
      <c r="AO35" s="9" t="str">
        <f t="shared" ref="AO35:AO51" si="44">IF(Q35+AB35&gt;0,"Yes", "No")</f>
        <v>Yes</v>
      </c>
      <c r="AP35" s="48" t="str">
        <f t="shared" ref="AP35:AP51" si="45">IF(T35+AE35&gt;0,"Yes", "No")</f>
        <v>No</v>
      </c>
      <c r="AQ35" s="51">
        <f t="shared" si="15"/>
        <v>0.30512721515067159</v>
      </c>
      <c r="AR35" s="52">
        <f t="shared" si="16"/>
        <v>2.798351283946331E-2</v>
      </c>
      <c r="AS35" s="52">
        <f t="shared" si="17"/>
        <v>6.4387014044506113E-2</v>
      </c>
      <c r="AT35" s="52">
        <f t="shared" si="18"/>
        <v>5.7022579653590675E-3</v>
      </c>
      <c r="AU35" s="52">
        <f t="shared" si="19"/>
        <v>0</v>
      </c>
      <c r="AV35" s="52">
        <f t="shared" si="20"/>
        <v>0</v>
      </c>
      <c r="AW35" s="52">
        <f t="shared" si="21"/>
        <v>0.40320000000000011</v>
      </c>
      <c r="AX35" s="49">
        <f t="shared" si="22"/>
        <v>0</v>
      </c>
      <c r="AY35" s="53">
        <f t="shared" si="23"/>
        <v>1</v>
      </c>
      <c r="AZ35" s="51">
        <f t="shared" si="24"/>
        <v>0.30512721515067159</v>
      </c>
      <c r="BA35" s="52">
        <f t="shared" si="25"/>
        <v>2.798351283946331E-2</v>
      </c>
      <c r="BB35" s="52">
        <f t="shared" si="26"/>
        <v>6.4387014044506113E-2</v>
      </c>
      <c r="BC35" s="52">
        <f t="shared" si="27"/>
        <v>5.7022579653590675E-3</v>
      </c>
      <c r="BD35" s="52">
        <f t="shared" si="28"/>
        <v>0</v>
      </c>
      <c r="BE35" s="52">
        <f t="shared" si="29"/>
        <v>0</v>
      </c>
      <c r="BF35" s="52">
        <f t="shared" si="30"/>
        <v>0.40320000000000011</v>
      </c>
      <c r="BG35" s="49">
        <f t="shared" si="31"/>
        <v>0</v>
      </c>
      <c r="BH35" s="49">
        <f t="shared" si="32"/>
        <v>1</v>
      </c>
      <c r="BI35" s="100">
        <f>BI$52/SUM($BI$52:$BL$52)</f>
        <v>0.75676392646495927</v>
      </c>
      <c r="BJ35" s="49">
        <f>BJ$52/SUM($BI$52:$BL$52)</f>
        <v>6.9403553669303841E-2</v>
      </c>
      <c r="BK35" s="49">
        <f>BK$52/SUM($BI$52:$BL$52)</f>
        <v>0.15969001499133462</v>
      </c>
      <c r="BL35" s="49">
        <f>BL$52/SUM($BI$52:$BL$52)</f>
        <v>1.414250487440245E-2</v>
      </c>
      <c r="BM35" s="49"/>
      <c r="BN35" s="49"/>
      <c r="BO35" s="41">
        <f t="shared" si="37"/>
        <v>0.4032</v>
      </c>
      <c r="BP35" s="41">
        <f t="shared" si="38"/>
        <v>0.4032</v>
      </c>
      <c r="BQ35" s="40" t="s">
        <v>87</v>
      </c>
      <c r="BR35" s="56">
        <v>0</v>
      </c>
      <c r="BS35" s="3">
        <v>0</v>
      </c>
      <c r="BT35" s="3">
        <v>0</v>
      </c>
      <c r="BU35" s="41">
        <f>AL35</f>
        <v>1.9800000000000002E-2</v>
      </c>
      <c r="BV35" s="123">
        <f t="shared" si="2"/>
        <v>8.0640000000000001</v>
      </c>
      <c r="BW35" s="113">
        <f t="shared" si="3"/>
        <v>4.6246722353255141</v>
      </c>
      <c r="BX35" s="113">
        <f t="shared" si="4"/>
        <v>806.4</v>
      </c>
      <c r="BY35" s="113">
        <f t="shared" si="5"/>
        <v>462.46722353255143</v>
      </c>
      <c r="BZ35" s="124">
        <f t="shared" si="6"/>
        <v>4.281384494398953</v>
      </c>
      <c r="CA35" s="125">
        <f t="shared" si="7"/>
        <v>42.813844943989523</v>
      </c>
    </row>
    <row r="36" spans="1:79" s="27" customFormat="1">
      <c r="A36" t="s">
        <v>4</v>
      </c>
      <c r="B36" t="s">
        <v>37</v>
      </c>
      <c r="C36" t="s">
        <v>224</v>
      </c>
      <c r="D36" s="9" t="s">
        <v>122</v>
      </c>
      <c r="E36" s="1"/>
      <c r="F36" s="1"/>
      <c r="G36" s="1"/>
      <c r="H36" s="1"/>
      <c r="I36" s="1"/>
      <c r="J36" s="18">
        <v>319.2</v>
      </c>
      <c r="K36" s="11"/>
      <c r="L36" s="11"/>
      <c r="M36" s="11"/>
      <c r="N36" s="11"/>
      <c r="O36" s="11"/>
      <c r="P36" s="11">
        <f t="shared" si="39"/>
        <v>319.2</v>
      </c>
      <c r="Q36" s="17"/>
      <c r="R36" s="49">
        <v>1</v>
      </c>
      <c r="S36" s="49">
        <v>0</v>
      </c>
      <c r="T36" s="33">
        <f t="shared" si="40"/>
        <v>0</v>
      </c>
      <c r="U36" s="16">
        <v>48.3</v>
      </c>
      <c r="V36" s="16"/>
      <c r="W36" s="16"/>
      <c r="X36" s="16"/>
      <c r="Y36" s="16"/>
      <c r="Z36" s="16"/>
      <c r="AA36" s="11">
        <f t="shared" si="41"/>
        <v>48.3</v>
      </c>
      <c r="AB36" s="3"/>
      <c r="AC36" s="49">
        <v>1</v>
      </c>
      <c r="AD36" s="49">
        <v>0</v>
      </c>
      <c r="AE36" s="33">
        <f t="shared" si="42"/>
        <v>0</v>
      </c>
      <c r="AF36" s="8">
        <v>0</v>
      </c>
      <c r="AG36"/>
      <c r="AH36"/>
      <c r="AI36"/>
      <c r="AJ36"/>
      <c r="AK36"/>
      <c r="AL36" s="11">
        <f t="shared" si="43"/>
        <v>0</v>
      </c>
      <c r="AM36" s="15">
        <v>0</v>
      </c>
      <c r="AN36" s="43"/>
      <c r="AO36" s="9" t="str">
        <f t="shared" si="44"/>
        <v>No</v>
      </c>
      <c r="AP36" s="48" t="str">
        <f t="shared" si="45"/>
        <v>No</v>
      </c>
      <c r="AQ36" s="51">
        <f t="shared" si="15"/>
        <v>319.2</v>
      </c>
      <c r="AR36" s="52">
        <f t="shared" si="16"/>
        <v>0</v>
      </c>
      <c r="AS36" s="52">
        <f t="shared" si="17"/>
        <v>0</v>
      </c>
      <c r="AT36" s="52">
        <f t="shared" si="18"/>
        <v>0</v>
      </c>
      <c r="AU36" s="52">
        <f t="shared" si="19"/>
        <v>0</v>
      </c>
      <c r="AV36" s="52">
        <f t="shared" si="20"/>
        <v>0</v>
      </c>
      <c r="AW36" s="52">
        <f t="shared" si="21"/>
        <v>319.2</v>
      </c>
      <c r="AX36" s="49">
        <f t="shared" si="22"/>
        <v>1</v>
      </c>
      <c r="AY36" s="53">
        <f t="shared" si="23"/>
        <v>0</v>
      </c>
      <c r="AZ36" s="51">
        <f t="shared" si="24"/>
        <v>48.3</v>
      </c>
      <c r="BA36" s="52">
        <f t="shared" si="25"/>
        <v>0</v>
      </c>
      <c r="BB36" s="52">
        <f t="shared" si="26"/>
        <v>0</v>
      </c>
      <c r="BC36" s="52">
        <f t="shared" si="27"/>
        <v>0</v>
      </c>
      <c r="BD36" s="52">
        <f t="shared" si="28"/>
        <v>0</v>
      </c>
      <c r="BE36" s="52">
        <f t="shared" si="29"/>
        <v>0</v>
      </c>
      <c r="BF36" s="52">
        <f t="shared" si="30"/>
        <v>48.3</v>
      </c>
      <c r="BG36" s="49">
        <f t="shared" si="31"/>
        <v>1</v>
      </c>
      <c r="BH36" s="49">
        <f t="shared" si="32"/>
        <v>0</v>
      </c>
      <c r="BI36" s="100"/>
      <c r="BJ36" s="49"/>
      <c r="BK36" s="49"/>
      <c r="BL36" s="49"/>
      <c r="BM36" s="49"/>
      <c r="BN36" s="49"/>
      <c r="BO36" s="41">
        <f t="shared" ref="BO36:BO41" si="46">Q36</f>
        <v>0</v>
      </c>
      <c r="BP36" s="41">
        <f t="shared" si="38"/>
        <v>0</v>
      </c>
      <c r="BQ36" s="3"/>
      <c r="BR36" s="56">
        <v>0</v>
      </c>
      <c r="BS36" s="14">
        <v>0</v>
      </c>
      <c r="BT36" s="14">
        <v>0</v>
      </c>
      <c r="BU36" s="114">
        <v>0</v>
      </c>
      <c r="BV36" s="123">
        <f t="shared" si="2"/>
        <v>966</v>
      </c>
      <c r="BW36" s="113">
        <f t="shared" si="3"/>
        <v>553.99719485670221</v>
      </c>
      <c r="BX36" s="113">
        <f t="shared" si="4"/>
        <v>47990.879999999997</v>
      </c>
      <c r="BY36" s="113">
        <f t="shared" si="5"/>
        <v>27522.580640480966</v>
      </c>
      <c r="BZ36" s="124">
        <f t="shared" si="6"/>
        <v>0</v>
      </c>
      <c r="CA36" s="125">
        <f t="shared" si="7"/>
        <v>0</v>
      </c>
    </row>
    <row r="37" spans="1:79" s="27" customFormat="1">
      <c r="A37" t="s">
        <v>3</v>
      </c>
      <c r="B37" t="s">
        <v>37</v>
      </c>
      <c r="C37" t="s">
        <v>224</v>
      </c>
      <c r="D37" s="9"/>
      <c r="E37" s="1" t="s">
        <v>122</v>
      </c>
      <c r="F37" s="1"/>
      <c r="G37" s="1"/>
      <c r="H37" s="1"/>
      <c r="I37" s="1"/>
      <c r="J37" s="18"/>
      <c r="K37" s="11">
        <v>7.6139999999999999</v>
      </c>
      <c r="L37" s="11"/>
      <c r="M37" s="11"/>
      <c r="N37" s="11"/>
      <c r="O37" s="11"/>
      <c r="P37" s="11">
        <f t="shared" si="39"/>
        <v>7.6139999999999999</v>
      </c>
      <c r="Q37" s="17"/>
      <c r="R37" s="49">
        <v>1</v>
      </c>
      <c r="S37" s="49">
        <v>0</v>
      </c>
      <c r="T37" s="33">
        <f t="shared" si="40"/>
        <v>0</v>
      </c>
      <c r="U37" s="16"/>
      <c r="V37" s="16">
        <v>7.6139999999999999</v>
      </c>
      <c r="W37" s="16"/>
      <c r="X37" s="16"/>
      <c r="Y37" s="16"/>
      <c r="Z37" s="16"/>
      <c r="AA37" s="11">
        <f t="shared" si="41"/>
        <v>7.6139999999999999</v>
      </c>
      <c r="AB37" s="3"/>
      <c r="AC37" s="49">
        <v>1</v>
      </c>
      <c r="AD37" s="49">
        <v>0</v>
      </c>
      <c r="AE37" s="33">
        <f t="shared" si="42"/>
        <v>0</v>
      </c>
      <c r="AF37" s="8"/>
      <c r="AG37">
        <v>0</v>
      </c>
      <c r="AH37"/>
      <c r="AI37"/>
      <c r="AJ37"/>
      <c r="AK37"/>
      <c r="AL37" s="11">
        <f t="shared" si="43"/>
        <v>0</v>
      </c>
      <c r="AM37" s="15">
        <v>0</v>
      </c>
      <c r="AN37" s="43"/>
      <c r="AO37" s="9" t="str">
        <f t="shared" si="44"/>
        <v>No</v>
      </c>
      <c r="AP37" s="48" t="str">
        <f t="shared" si="45"/>
        <v>No</v>
      </c>
      <c r="AQ37" s="51">
        <f t="shared" si="15"/>
        <v>0</v>
      </c>
      <c r="AR37" s="52">
        <f t="shared" si="16"/>
        <v>7.6139999999999999</v>
      </c>
      <c r="AS37" s="52">
        <f t="shared" si="17"/>
        <v>0</v>
      </c>
      <c r="AT37" s="52">
        <f t="shared" si="18"/>
        <v>0</v>
      </c>
      <c r="AU37" s="52">
        <f t="shared" si="19"/>
        <v>0</v>
      </c>
      <c r="AV37" s="52">
        <f t="shared" si="20"/>
        <v>0</v>
      </c>
      <c r="AW37" s="52">
        <f t="shared" si="21"/>
        <v>7.6139999999999999</v>
      </c>
      <c r="AX37" s="49">
        <f t="shared" si="22"/>
        <v>1</v>
      </c>
      <c r="AY37" s="53">
        <f t="shared" si="23"/>
        <v>0</v>
      </c>
      <c r="AZ37" s="51">
        <f t="shared" si="24"/>
        <v>0</v>
      </c>
      <c r="BA37" s="52">
        <f t="shared" si="25"/>
        <v>7.6139999999999999</v>
      </c>
      <c r="BB37" s="52">
        <f t="shared" si="26"/>
        <v>0</v>
      </c>
      <c r="BC37" s="52">
        <f t="shared" si="27"/>
        <v>0</v>
      </c>
      <c r="BD37" s="52">
        <f t="shared" si="28"/>
        <v>0</v>
      </c>
      <c r="BE37" s="52">
        <f t="shared" si="29"/>
        <v>0</v>
      </c>
      <c r="BF37" s="52">
        <f t="shared" si="30"/>
        <v>7.6139999999999999</v>
      </c>
      <c r="BG37" s="49">
        <f t="shared" si="31"/>
        <v>1</v>
      </c>
      <c r="BH37" s="49">
        <f t="shared" si="32"/>
        <v>0</v>
      </c>
      <c r="BI37" s="100"/>
      <c r="BJ37" s="49"/>
      <c r="BK37" s="49"/>
      <c r="BL37" s="49"/>
      <c r="BM37" s="49"/>
      <c r="BN37" s="49"/>
      <c r="BO37" s="41">
        <f t="shared" si="46"/>
        <v>0</v>
      </c>
      <c r="BP37" s="41">
        <f t="shared" si="38"/>
        <v>0</v>
      </c>
      <c r="BQ37" s="3"/>
      <c r="BR37" s="56">
        <v>0</v>
      </c>
      <c r="BS37" s="14">
        <v>0</v>
      </c>
      <c r="BT37" s="14">
        <v>0</v>
      </c>
      <c r="BU37" s="114">
        <v>0</v>
      </c>
      <c r="BV37" s="123">
        <f t="shared" si="2"/>
        <v>152.28</v>
      </c>
      <c r="BW37" s="113">
        <f t="shared" si="3"/>
        <v>87.331980158155915</v>
      </c>
      <c r="BX37" s="113">
        <f t="shared" si="4"/>
        <v>7565.2704000000003</v>
      </c>
      <c r="BY37" s="113">
        <f t="shared" si="5"/>
        <v>4338.6527742571861</v>
      </c>
      <c r="BZ37" s="124">
        <f t="shared" si="6"/>
        <v>0</v>
      </c>
      <c r="CA37" s="125">
        <f t="shared" si="7"/>
        <v>0</v>
      </c>
    </row>
    <row r="38" spans="1:79" s="27" customFormat="1">
      <c r="A38" t="s">
        <v>14</v>
      </c>
      <c r="B38" t="s">
        <v>37</v>
      </c>
      <c r="C38" t="s">
        <v>224</v>
      </c>
      <c r="D38" s="9" t="s">
        <v>122</v>
      </c>
      <c r="E38" s="1"/>
      <c r="F38" s="1"/>
      <c r="G38" s="1"/>
      <c r="H38" s="1"/>
      <c r="I38" s="1"/>
      <c r="J38" s="18">
        <v>0</v>
      </c>
      <c r="K38" s="11"/>
      <c r="L38" s="11"/>
      <c r="M38" s="11"/>
      <c r="N38" s="11"/>
      <c r="O38" s="11"/>
      <c r="P38" s="11">
        <f t="shared" si="39"/>
        <v>0</v>
      </c>
      <c r="Q38" s="17"/>
      <c r="R38" s="49">
        <v>1</v>
      </c>
      <c r="S38" s="49">
        <v>0</v>
      </c>
      <c r="T38" s="33">
        <f t="shared" si="40"/>
        <v>0</v>
      </c>
      <c r="U38" s="16">
        <v>0</v>
      </c>
      <c r="V38" s="16"/>
      <c r="W38" s="16"/>
      <c r="X38" s="16"/>
      <c r="Y38" s="16"/>
      <c r="Z38" s="16"/>
      <c r="AA38" s="11">
        <f t="shared" si="41"/>
        <v>0</v>
      </c>
      <c r="AB38" s="3"/>
      <c r="AC38" s="49">
        <v>1</v>
      </c>
      <c r="AD38" s="49">
        <v>0</v>
      </c>
      <c r="AE38" s="33">
        <f t="shared" si="42"/>
        <v>0</v>
      </c>
      <c r="AF38" s="8">
        <v>0</v>
      </c>
      <c r="AG38"/>
      <c r="AH38"/>
      <c r="AI38"/>
      <c r="AJ38"/>
      <c r="AK38"/>
      <c r="AL38" s="11">
        <f t="shared" si="43"/>
        <v>0</v>
      </c>
      <c r="AM38" s="15">
        <v>0</v>
      </c>
      <c r="AN38" s="43"/>
      <c r="AO38" s="9" t="str">
        <f t="shared" si="44"/>
        <v>No</v>
      </c>
      <c r="AP38" s="48" t="str">
        <f t="shared" si="45"/>
        <v>No</v>
      </c>
      <c r="AQ38" s="51">
        <f t="shared" si="15"/>
        <v>0</v>
      </c>
      <c r="AR38" s="52">
        <f t="shared" si="16"/>
        <v>0</v>
      </c>
      <c r="AS38" s="52">
        <f t="shared" si="17"/>
        <v>0</v>
      </c>
      <c r="AT38" s="52">
        <f t="shared" si="18"/>
        <v>0</v>
      </c>
      <c r="AU38" s="52">
        <f t="shared" si="19"/>
        <v>0</v>
      </c>
      <c r="AV38" s="52">
        <f t="shared" si="20"/>
        <v>0</v>
      </c>
      <c r="AW38" s="52">
        <f t="shared" si="21"/>
        <v>0</v>
      </c>
      <c r="AX38" s="49">
        <f t="shared" si="22"/>
        <v>1</v>
      </c>
      <c r="AY38" s="53">
        <f t="shared" si="23"/>
        <v>0</v>
      </c>
      <c r="AZ38" s="51">
        <f t="shared" si="24"/>
        <v>0</v>
      </c>
      <c r="BA38" s="52">
        <f t="shared" si="25"/>
        <v>0</v>
      </c>
      <c r="BB38" s="52">
        <f t="shared" si="26"/>
        <v>0</v>
      </c>
      <c r="BC38" s="52">
        <f t="shared" si="27"/>
        <v>0</v>
      </c>
      <c r="BD38" s="52">
        <f t="shared" si="28"/>
        <v>0</v>
      </c>
      <c r="BE38" s="52">
        <f t="shared" si="29"/>
        <v>0</v>
      </c>
      <c r="BF38" s="52">
        <f t="shared" si="30"/>
        <v>0</v>
      </c>
      <c r="BG38" s="49">
        <f t="shared" si="31"/>
        <v>1</v>
      </c>
      <c r="BH38" s="49">
        <f t="shared" si="32"/>
        <v>0</v>
      </c>
      <c r="BI38" s="100"/>
      <c r="BJ38" s="49"/>
      <c r="BK38" s="49"/>
      <c r="BL38" s="49"/>
      <c r="BM38" s="49"/>
      <c r="BN38" s="49"/>
      <c r="BO38" s="41">
        <f t="shared" si="46"/>
        <v>0</v>
      </c>
      <c r="BP38" s="41">
        <f t="shared" si="38"/>
        <v>0</v>
      </c>
      <c r="BQ38" s="3"/>
      <c r="BR38" s="56">
        <v>0</v>
      </c>
      <c r="BS38" s="14">
        <v>0</v>
      </c>
      <c r="BT38" s="14">
        <v>0</v>
      </c>
      <c r="BU38" s="114">
        <v>0</v>
      </c>
      <c r="BV38" s="123">
        <f t="shared" si="2"/>
        <v>0</v>
      </c>
      <c r="BW38" s="113">
        <f t="shared" si="3"/>
        <v>0</v>
      </c>
      <c r="BX38" s="113">
        <f t="shared" si="4"/>
        <v>0</v>
      </c>
      <c r="BY38" s="113">
        <f t="shared" si="5"/>
        <v>0</v>
      </c>
      <c r="BZ38" s="124" t="e">
        <f t="shared" si="6"/>
        <v>#DIV/0!</v>
      </c>
      <c r="CA38" s="125" t="e">
        <f t="shared" si="7"/>
        <v>#DIV/0!</v>
      </c>
    </row>
    <row r="39" spans="1:79" s="27" customFormat="1">
      <c r="A39" t="s">
        <v>13</v>
      </c>
      <c r="B39" t="s">
        <v>37</v>
      </c>
      <c r="C39" t="s">
        <v>224</v>
      </c>
      <c r="D39" s="9" t="s">
        <v>122</v>
      </c>
      <c r="E39" s="1"/>
      <c r="F39" s="1"/>
      <c r="G39" s="1"/>
      <c r="H39" s="1"/>
      <c r="I39" s="1"/>
      <c r="J39" s="18">
        <v>219</v>
      </c>
      <c r="K39" s="11"/>
      <c r="L39" s="11"/>
      <c r="M39" s="11"/>
      <c r="N39" s="11"/>
      <c r="O39" s="11"/>
      <c r="P39" s="11">
        <f t="shared" si="39"/>
        <v>219</v>
      </c>
      <c r="Q39" s="17"/>
      <c r="R39" s="49">
        <v>1</v>
      </c>
      <c r="S39" s="49">
        <v>0</v>
      </c>
      <c r="T39" s="33">
        <f t="shared" si="40"/>
        <v>0</v>
      </c>
      <c r="U39" s="16">
        <v>0</v>
      </c>
      <c r="V39" s="16"/>
      <c r="W39" s="16"/>
      <c r="X39" s="16"/>
      <c r="Y39" s="16"/>
      <c r="Z39" s="16"/>
      <c r="AA39" s="11">
        <f t="shared" si="41"/>
        <v>0</v>
      </c>
      <c r="AB39" s="3"/>
      <c r="AC39" s="49">
        <v>1</v>
      </c>
      <c r="AD39" s="49">
        <v>0</v>
      </c>
      <c r="AE39" s="33">
        <f t="shared" si="42"/>
        <v>0</v>
      </c>
      <c r="AF39" s="8">
        <v>0</v>
      </c>
      <c r="AG39"/>
      <c r="AH39"/>
      <c r="AI39"/>
      <c r="AJ39"/>
      <c r="AK39"/>
      <c r="AL39" s="11">
        <f t="shared" si="43"/>
        <v>0</v>
      </c>
      <c r="AM39" s="15">
        <v>0</v>
      </c>
      <c r="AN39" s="43"/>
      <c r="AO39" s="9" t="str">
        <f t="shared" si="44"/>
        <v>No</v>
      </c>
      <c r="AP39" s="48" t="str">
        <f t="shared" si="45"/>
        <v>No</v>
      </c>
      <c r="AQ39" s="51">
        <f t="shared" si="15"/>
        <v>219</v>
      </c>
      <c r="AR39" s="52">
        <f t="shared" si="16"/>
        <v>0</v>
      </c>
      <c r="AS39" s="52">
        <f t="shared" si="17"/>
        <v>0</v>
      </c>
      <c r="AT39" s="52">
        <f t="shared" si="18"/>
        <v>0</v>
      </c>
      <c r="AU39" s="52">
        <f t="shared" si="19"/>
        <v>0</v>
      </c>
      <c r="AV39" s="52">
        <f t="shared" si="20"/>
        <v>0</v>
      </c>
      <c r="AW39" s="52">
        <f t="shared" si="21"/>
        <v>219</v>
      </c>
      <c r="AX39" s="49">
        <f t="shared" si="22"/>
        <v>1</v>
      </c>
      <c r="AY39" s="53">
        <f t="shared" si="23"/>
        <v>0</v>
      </c>
      <c r="AZ39" s="51">
        <f t="shared" si="24"/>
        <v>0</v>
      </c>
      <c r="BA39" s="52">
        <f t="shared" si="25"/>
        <v>0</v>
      </c>
      <c r="BB39" s="52">
        <f t="shared" si="26"/>
        <v>0</v>
      </c>
      <c r="BC39" s="52">
        <f t="shared" si="27"/>
        <v>0</v>
      </c>
      <c r="BD39" s="52">
        <f t="shared" si="28"/>
        <v>0</v>
      </c>
      <c r="BE39" s="52">
        <f t="shared" si="29"/>
        <v>0</v>
      </c>
      <c r="BF39" s="52">
        <f t="shared" si="30"/>
        <v>0</v>
      </c>
      <c r="BG39" s="49">
        <f t="shared" si="31"/>
        <v>1</v>
      </c>
      <c r="BH39" s="49">
        <f t="shared" si="32"/>
        <v>0</v>
      </c>
      <c r="BI39" s="100"/>
      <c r="BJ39" s="49"/>
      <c r="BK39" s="49"/>
      <c r="BL39" s="49"/>
      <c r="BM39" s="49"/>
      <c r="BN39" s="49"/>
      <c r="BO39" s="41">
        <f t="shared" si="46"/>
        <v>0</v>
      </c>
      <c r="BP39" s="41">
        <f t="shared" si="38"/>
        <v>0</v>
      </c>
      <c r="BQ39" s="3"/>
      <c r="BR39" s="56">
        <v>0</v>
      </c>
      <c r="BS39" s="14">
        <v>0</v>
      </c>
      <c r="BT39" s="14">
        <v>0</v>
      </c>
      <c r="BU39" s="114">
        <v>0</v>
      </c>
      <c r="BV39" s="123">
        <f t="shared" si="2"/>
        <v>0</v>
      </c>
      <c r="BW39" s="113">
        <f t="shared" si="3"/>
        <v>0</v>
      </c>
      <c r="BX39" s="113">
        <f t="shared" si="4"/>
        <v>0</v>
      </c>
      <c r="BY39" s="113">
        <f t="shared" si="5"/>
        <v>0</v>
      </c>
      <c r="BZ39" s="124" t="e">
        <f t="shared" si="6"/>
        <v>#DIV/0!</v>
      </c>
      <c r="CA39" s="125" t="e">
        <f t="shared" si="7"/>
        <v>#DIV/0!</v>
      </c>
    </row>
    <row r="40" spans="1:79" s="27" customFormat="1">
      <c r="A40" t="s">
        <v>12</v>
      </c>
      <c r="B40" t="s">
        <v>37</v>
      </c>
      <c r="C40" t="s">
        <v>224</v>
      </c>
      <c r="D40" s="9" t="s">
        <v>122</v>
      </c>
      <c r="E40" s="1"/>
      <c r="F40" s="1"/>
      <c r="G40" s="1"/>
      <c r="H40" s="1"/>
      <c r="I40" s="1"/>
      <c r="J40" s="18">
        <v>15</v>
      </c>
      <c r="K40" s="11"/>
      <c r="L40" s="11"/>
      <c r="M40" s="11"/>
      <c r="N40" s="11"/>
      <c r="O40" s="11"/>
      <c r="P40" s="11">
        <f t="shared" si="39"/>
        <v>15</v>
      </c>
      <c r="Q40" s="17"/>
      <c r="R40" s="49">
        <v>1</v>
      </c>
      <c r="S40" s="49">
        <v>0</v>
      </c>
      <c r="T40" s="33">
        <f t="shared" si="40"/>
        <v>0</v>
      </c>
      <c r="U40" s="16">
        <v>0</v>
      </c>
      <c r="V40" s="16"/>
      <c r="W40" s="16"/>
      <c r="X40" s="16"/>
      <c r="Y40" s="16"/>
      <c r="Z40" s="16"/>
      <c r="AA40" s="11">
        <f t="shared" si="41"/>
        <v>0</v>
      </c>
      <c r="AB40" s="3"/>
      <c r="AC40" s="49">
        <v>1</v>
      </c>
      <c r="AD40" s="49">
        <v>0</v>
      </c>
      <c r="AE40" s="33">
        <f t="shared" si="42"/>
        <v>0</v>
      </c>
      <c r="AF40" s="8">
        <v>0</v>
      </c>
      <c r="AG40"/>
      <c r="AH40"/>
      <c r="AI40"/>
      <c r="AJ40"/>
      <c r="AK40"/>
      <c r="AL40" s="11">
        <f t="shared" si="43"/>
        <v>0</v>
      </c>
      <c r="AM40" s="15">
        <v>0</v>
      </c>
      <c r="AN40" s="43"/>
      <c r="AO40" s="9" t="str">
        <f t="shared" si="44"/>
        <v>No</v>
      </c>
      <c r="AP40" s="48" t="str">
        <f t="shared" si="45"/>
        <v>No</v>
      </c>
      <c r="AQ40" s="51">
        <f t="shared" si="15"/>
        <v>15</v>
      </c>
      <c r="AR40" s="52">
        <f t="shared" si="16"/>
        <v>0</v>
      </c>
      <c r="AS40" s="52">
        <f t="shared" si="17"/>
        <v>0</v>
      </c>
      <c r="AT40" s="52">
        <f t="shared" si="18"/>
        <v>0</v>
      </c>
      <c r="AU40" s="52">
        <f t="shared" si="19"/>
        <v>0</v>
      </c>
      <c r="AV40" s="52">
        <f t="shared" si="20"/>
        <v>0</v>
      </c>
      <c r="AW40" s="52">
        <f t="shared" si="21"/>
        <v>15</v>
      </c>
      <c r="AX40" s="49">
        <f t="shared" si="22"/>
        <v>1</v>
      </c>
      <c r="AY40" s="53">
        <f t="shared" si="23"/>
        <v>0</v>
      </c>
      <c r="AZ40" s="51">
        <f t="shared" si="24"/>
        <v>0</v>
      </c>
      <c r="BA40" s="52">
        <f t="shared" si="25"/>
        <v>0</v>
      </c>
      <c r="BB40" s="52">
        <f t="shared" si="26"/>
        <v>0</v>
      </c>
      <c r="BC40" s="52">
        <f t="shared" si="27"/>
        <v>0</v>
      </c>
      <c r="BD40" s="52">
        <f t="shared" si="28"/>
        <v>0</v>
      </c>
      <c r="BE40" s="52">
        <f t="shared" si="29"/>
        <v>0</v>
      </c>
      <c r="BF40" s="52">
        <f t="shared" si="30"/>
        <v>0</v>
      </c>
      <c r="BG40" s="49">
        <f t="shared" si="31"/>
        <v>1</v>
      </c>
      <c r="BH40" s="49">
        <f t="shared" si="32"/>
        <v>0</v>
      </c>
      <c r="BI40" s="100"/>
      <c r="BJ40" s="49"/>
      <c r="BK40" s="49"/>
      <c r="BL40" s="49"/>
      <c r="BM40" s="49"/>
      <c r="BN40" s="49"/>
      <c r="BO40" s="41">
        <f t="shared" si="46"/>
        <v>0</v>
      </c>
      <c r="BP40" s="41">
        <f t="shared" si="38"/>
        <v>0</v>
      </c>
      <c r="BQ40" s="3"/>
      <c r="BR40" s="56">
        <v>0</v>
      </c>
      <c r="BS40" s="14">
        <v>0</v>
      </c>
      <c r="BT40" s="14">
        <v>0</v>
      </c>
      <c r="BU40" s="114">
        <v>0</v>
      </c>
      <c r="BV40" s="123">
        <f t="shared" si="2"/>
        <v>0</v>
      </c>
      <c r="BW40" s="113">
        <f t="shared" si="3"/>
        <v>0</v>
      </c>
      <c r="BX40" s="113">
        <f t="shared" si="4"/>
        <v>0</v>
      </c>
      <c r="BY40" s="113">
        <f t="shared" si="5"/>
        <v>0</v>
      </c>
      <c r="BZ40" s="124" t="e">
        <f t="shared" si="6"/>
        <v>#DIV/0!</v>
      </c>
      <c r="CA40" s="125" t="e">
        <f t="shared" si="7"/>
        <v>#DIV/0!</v>
      </c>
    </row>
    <row r="41" spans="1:79" s="27" customFormat="1">
      <c r="A41" t="s">
        <v>11</v>
      </c>
      <c r="B41" t="s">
        <v>37</v>
      </c>
      <c r="C41" t="s">
        <v>224</v>
      </c>
      <c r="D41" s="9" t="s">
        <v>122</v>
      </c>
      <c r="E41" s="1"/>
      <c r="F41" s="1"/>
      <c r="G41" s="1"/>
      <c r="H41" s="1"/>
      <c r="I41" s="1"/>
      <c r="J41" s="18">
        <v>6.16</v>
      </c>
      <c r="K41" s="11"/>
      <c r="L41" s="11"/>
      <c r="M41" s="11"/>
      <c r="N41" s="11"/>
      <c r="O41" s="11"/>
      <c r="P41" s="11">
        <f t="shared" si="39"/>
        <v>6.16</v>
      </c>
      <c r="Q41" s="17"/>
      <c r="R41" s="49">
        <v>1</v>
      </c>
      <c r="S41" s="49">
        <v>0</v>
      </c>
      <c r="T41" s="33">
        <f t="shared" si="40"/>
        <v>0</v>
      </c>
      <c r="U41" s="16">
        <v>0</v>
      </c>
      <c r="V41" s="16"/>
      <c r="W41" s="16"/>
      <c r="X41" s="16"/>
      <c r="Y41" s="16"/>
      <c r="Z41" s="16"/>
      <c r="AA41" s="11">
        <f t="shared" si="41"/>
        <v>0</v>
      </c>
      <c r="AB41" s="3"/>
      <c r="AC41" s="49">
        <v>1</v>
      </c>
      <c r="AD41" s="49">
        <v>0</v>
      </c>
      <c r="AE41" s="33">
        <f t="shared" si="42"/>
        <v>0</v>
      </c>
      <c r="AF41" s="8">
        <v>0</v>
      </c>
      <c r="AG41"/>
      <c r="AH41"/>
      <c r="AI41"/>
      <c r="AJ41"/>
      <c r="AK41"/>
      <c r="AL41" s="11">
        <f t="shared" si="43"/>
        <v>0</v>
      </c>
      <c r="AM41" s="15">
        <v>0</v>
      </c>
      <c r="AN41" s="43"/>
      <c r="AO41" s="9" t="str">
        <f t="shared" si="44"/>
        <v>No</v>
      </c>
      <c r="AP41" s="48" t="str">
        <f t="shared" si="45"/>
        <v>No</v>
      </c>
      <c r="AQ41" s="51">
        <f t="shared" si="15"/>
        <v>6.16</v>
      </c>
      <c r="AR41" s="52">
        <f t="shared" si="16"/>
        <v>0</v>
      </c>
      <c r="AS41" s="52">
        <f t="shared" si="17"/>
        <v>0</v>
      </c>
      <c r="AT41" s="52">
        <f t="shared" si="18"/>
        <v>0</v>
      </c>
      <c r="AU41" s="52">
        <f t="shared" si="19"/>
        <v>0</v>
      </c>
      <c r="AV41" s="52">
        <f t="shared" si="20"/>
        <v>0</v>
      </c>
      <c r="AW41" s="52">
        <f t="shared" si="21"/>
        <v>6.16</v>
      </c>
      <c r="AX41" s="49">
        <f t="shared" si="22"/>
        <v>1</v>
      </c>
      <c r="AY41" s="53">
        <f t="shared" si="23"/>
        <v>0</v>
      </c>
      <c r="AZ41" s="51">
        <f t="shared" si="24"/>
        <v>0</v>
      </c>
      <c r="BA41" s="52">
        <f t="shared" si="25"/>
        <v>0</v>
      </c>
      <c r="BB41" s="52">
        <f t="shared" si="26"/>
        <v>0</v>
      </c>
      <c r="BC41" s="52">
        <f t="shared" si="27"/>
        <v>0</v>
      </c>
      <c r="BD41" s="52">
        <f t="shared" si="28"/>
        <v>0</v>
      </c>
      <c r="BE41" s="52">
        <f t="shared" si="29"/>
        <v>0</v>
      </c>
      <c r="BF41" s="52">
        <f t="shared" si="30"/>
        <v>0</v>
      </c>
      <c r="BG41" s="49">
        <f t="shared" si="31"/>
        <v>1</v>
      </c>
      <c r="BH41" s="49">
        <f t="shared" si="32"/>
        <v>0</v>
      </c>
      <c r="BI41" s="100"/>
      <c r="BJ41" s="49"/>
      <c r="BK41" s="49"/>
      <c r="BL41" s="49"/>
      <c r="BM41" s="49"/>
      <c r="BN41" s="49"/>
      <c r="BO41" s="41">
        <f t="shared" si="46"/>
        <v>0</v>
      </c>
      <c r="BP41" s="41">
        <f t="shared" si="38"/>
        <v>0</v>
      </c>
      <c r="BQ41" s="3"/>
      <c r="BR41" s="56">
        <v>0</v>
      </c>
      <c r="BS41" s="14">
        <v>0</v>
      </c>
      <c r="BT41" s="14">
        <v>0</v>
      </c>
      <c r="BU41" s="114">
        <v>0</v>
      </c>
      <c r="BV41" s="123">
        <f t="shared" si="2"/>
        <v>0</v>
      </c>
      <c r="BW41" s="113">
        <f t="shared" si="3"/>
        <v>0</v>
      </c>
      <c r="BX41" s="113">
        <f t="shared" si="4"/>
        <v>0</v>
      </c>
      <c r="BY41" s="113">
        <f t="shared" si="5"/>
        <v>0</v>
      </c>
      <c r="BZ41" s="124" t="e">
        <f t="shared" si="6"/>
        <v>#DIV/0!</v>
      </c>
      <c r="CA41" s="125" t="e">
        <f t="shared" si="7"/>
        <v>#DIV/0!</v>
      </c>
    </row>
    <row r="42" spans="1:79" s="27" customFormat="1">
      <c r="A42" t="s">
        <v>40</v>
      </c>
      <c r="B42" t="s">
        <v>37</v>
      </c>
      <c r="C42" t="s">
        <v>224</v>
      </c>
      <c r="D42" s="9"/>
      <c r="E42" s="1"/>
      <c r="F42" s="1"/>
      <c r="G42" s="1"/>
      <c r="H42" s="1" t="s">
        <v>122</v>
      </c>
      <c r="I42" s="1" t="s">
        <v>122</v>
      </c>
      <c r="J42" s="18"/>
      <c r="K42" s="11"/>
      <c r="L42" s="11"/>
      <c r="M42" s="11"/>
      <c r="N42" s="11"/>
      <c r="O42" s="11"/>
      <c r="P42" s="11">
        <f t="shared" si="39"/>
        <v>94.605000000000004</v>
      </c>
      <c r="Q42" s="41">
        <v>94.605000000000004</v>
      </c>
      <c r="R42" s="49">
        <v>1</v>
      </c>
      <c r="S42" s="49">
        <v>0</v>
      </c>
      <c r="T42" s="33">
        <f t="shared" si="40"/>
        <v>0</v>
      </c>
      <c r="U42" s="16"/>
      <c r="V42" s="16"/>
      <c r="W42" s="16"/>
      <c r="X42" s="16"/>
      <c r="Y42" s="16"/>
      <c r="Z42" s="16"/>
      <c r="AA42" s="11">
        <f t="shared" si="41"/>
        <v>70.605000000000004</v>
      </c>
      <c r="AB42" s="41">
        <v>70.605000000000004</v>
      </c>
      <c r="AC42" s="49">
        <v>1</v>
      </c>
      <c r="AD42" s="49">
        <v>0</v>
      </c>
      <c r="AE42" s="33">
        <f t="shared" si="42"/>
        <v>0</v>
      </c>
      <c r="AF42" s="8"/>
      <c r="AG42"/>
      <c r="AH42"/>
      <c r="AI42"/>
      <c r="AJ42">
        <v>0</v>
      </c>
      <c r="AK42">
        <v>0</v>
      </c>
      <c r="AL42" s="11">
        <f t="shared" si="43"/>
        <v>0</v>
      </c>
      <c r="AM42" s="15">
        <v>0</v>
      </c>
      <c r="AN42" s="43"/>
      <c r="AO42" s="9" t="str">
        <f t="shared" si="44"/>
        <v>Yes</v>
      </c>
      <c r="AP42" s="48" t="str">
        <f t="shared" si="45"/>
        <v>No</v>
      </c>
      <c r="AQ42" s="51">
        <f t="shared" si="15"/>
        <v>0</v>
      </c>
      <c r="AR42" s="52">
        <f t="shared" si="16"/>
        <v>0</v>
      </c>
      <c r="AS42" s="52">
        <f t="shared" si="17"/>
        <v>0</v>
      </c>
      <c r="AT42" s="52">
        <f t="shared" si="18"/>
        <v>0</v>
      </c>
      <c r="AU42" s="52">
        <f t="shared" si="19"/>
        <v>89.7373193263291</v>
      </c>
      <c r="AV42" s="52">
        <f t="shared" si="20"/>
        <v>4.867680673670912</v>
      </c>
      <c r="AW42" s="52">
        <f t="shared" si="21"/>
        <v>94.605000000000018</v>
      </c>
      <c r="AX42" s="49">
        <f t="shared" si="22"/>
        <v>1</v>
      </c>
      <c r="AY42" s="53">
        <f t="shared" si="23"/>
        <v>0</v>
      </c>
      <c r="AZ42" s="51">
        <f t="shared" si="24"/>
        <v>0</v>
      </c>
      <c r="BA42" s="52">
        <f t="shared" si="25"/>
        <v>0</v>
      </c>
      <c r="BB42" s="52">
        <f t="shared" si="26"/>
        <v>0</v>
      </c>
      <c r="BC42" s="52">
        <f t="shared" si="27"/>
        <v>0</v>
      </c>
      <c r="BD42" s="52">
        <f t="shared" si="28"/>
        <v>66.972183616462829</v>
      </c>
      <c r="BE42" s="52">
        <f t="shared" si="29"/>
        <v>3.6328163835371781</v>
      </c>
      <c r="BF42" s="52">
        <f t="shared" si="30"/>
        <v>70.605000000000004</v>
      </c>
      <c r="BG42" s="49">
        <f t="shared" si="31"/>
        <v>1</v>
      </c>
      <c r="BH42" s="49">
        <f t="shared" si="32"/>
        <v>0</v>
      </c>
      <c r="BI42" s="100"/>
      <c r="BJ42" s="49"/>
      <c r="BK42" s="49"/>
      <c r="BL42" s="49"/>
      <c r="BM42" s="49">
        <f>BM52/($BM$52+$BN$52)</f>
        <v>0.94854732124442787</v>
      </c>
      <c r="BN42" s="49">
        <f>BN52/($BM$52+$BN$52)</f>
        <v>5.1452678755572238E-2</v>
      </c>
      <c r="BO42" s="41">
        <f>Q42</f>
        <v>94.605000000000004</v>
      </c>
      <c r="BP42" s="41">
        <f t="shared" si="38"/>
        <v>70.605000000000004</v>
      </c>
      <c r="BQ42" s="40" t="s">
        <v>87</v>
      </c>
      <c r="BR42" s="56">
        <v>0</v>
      </c>
      <c r="BS42" s="14">
        <v>0</v>
      </c>
      <c r="BT42" s="14">
        <v>0</v>
      </c>
      <c r="BU42" s="114">
        <v>0</v>
      </c>
      <c r="BV42" s="123">
        <f t="shared" si="2"/>
        <v>1412.1000000000001</v>
      </c>
      <c r="BW42" s="113">
        <f t="shared" si="3"/>
        <v>809.83378763680037</v>
      </c>
      <c r="BX42" s="113">
        <f t="shared" si="4"/>
        <v>70153.128000000012</v>
      </c>
      <c r="BY42" s="113">
        <f t="shared" si="5"/>
        <v>40232.542569796242</v>
      </c>
      <c r="BZ42" s="124">
        <f t="shared" si="6"/>
        <v>0</v>
      </c>
      <c r="CA42" s="125">
        <f t="shared" si="7"/>
        <v>0</v>
      </c>
    </row>
    <row r="43" spans="1:79" s="27" customFormat="1">
      <c r="A43" t="s">
        <v>39</v>
      </c>
      <c r="B43" t="s">
        <v>37</v>
      </c>
      <c r="C43" t="s">
        <v>224</v>
      </c>
      <c r="D43" s="9"/>
      <c r="E43" s="1"/>
      <c r="F43" s="1"/>
      <c r="G43" s="1"/>
      <c r="H43" s="1" t="s">
        <v>122</v>
      </c>
      <c r="I43" s="1"/>
      <c r="J43" s="18"/>
      <c r="K43" s="11"/>
      <c r="L43" s="11"/>
      <c r="M43" s="11"/>
      <c r="N43" s="11">
        <v>17.7</v>
      </c>
      <c r="O43" s="11"/>
      <c r="P43" s="11">
        <f t="shared" si="39"/>
        <v>17.7</v>
      </c>
      <c r="Q43" s="17"/>
      <c r="R43" s="49">
        <v>1</v>
      </c>
      <c r="S43" s="49">
        <v>0</v>
      </c>
      <c r="T43" s="33">
        <f t="shared" si="40"/>
        <v>0</v>
      </c>
      <c r="U43" s="16"/>
      <c r="V43" s="16"/>
      <c r="W43" s="16"/>
      <c r="X43" s="16"/>
      <c r="Y43" s="16">
        <v>3.2</v>
      </c>
      <c r="Z43" s="16"/>
      <c r="AA43" s="11">
        <f t="shared" si="41"/>
        <v>3.2</v>
      </c>
      <c r="AB43" s="3"/>
      <c r="AC43" s="49">
        <v>1</v>
      </c>
      <c r="AD43" s="49">
        <v>0</v>
      </c>
      <c r="AE43" s="33">
        <f t="shared" si="42"/>
        <v>0</v>
      </c>
      <c r="AF43" s="8"/>
      <c r="AG43"/>
      <c r="AH43"/>
      <c r="AI43"/>
      <c r="AJ43">
        <v>0</v>
      </c>
      <c r="AK43"/>
      <c r="AL43" s="11">
        <f t="shared" si="43"/>
        <v>0</v>
      </c>
      <c r="AM43" s="15">
        <v>0</v>
      </c>
      <c r="AN43" s="43"/>
      <c r="AO43" s="9" t="str">
        <f t="shared" si="44"/>
        <v>No</v>
      </c>
      <c r="AP43" s="48" t="str">
        <f t="shared" si="45"/>
        <v>No</v>
      </c>
      <c r="AQ43" s="51">
        <f t="shared" si="15"/>
        <v>0</v>
      </c>
      <c r="AR43" s="52">
        <f t="shared" si="16"/>
        <v>0</v>
      </c>
      <c r="AS43" s="52">
        <f t="shared" si="17"/>
        <v>0</v>
      </c>
      <c r="AT43" s="52">
        <f t="shared" si="18"/>
        <v>0</v>
      </c>
      <c r="AU43" s="52">
        <f t="shared" si="19"/>
        <v>17.7</v>
      </c>
      <c r="AV43" s="52">
        <f t="shared" si="20"/>
        <v>0</v>
      </c>
      <c r="AW43" s="52">
        <f t="shared" si="21"/>
        <v>17.7</v>
      </c>
      <c r="AX43" s="49">
        <f t="shared" si="22"/>
        <v>1</v>
      </c>
      <c r="AY43" s="53">
        <f t="shared" si="23"/>
        <v>0</v>
      </c>
      <c r="AZ43" s="51">
        <f t="shared" si="24"/>
        <v>0</v>
      </c>
      <c r="BA43" s="52">
        <f t="shared" si="25"/>
        <v>0</v>
      </c>
      <c r="BB43" s="52">
        <f t="shared" si="26"/>
        <v>0</v>
      </c>
      <c r="BC43" s="52">
        <f t="shared" si="27"/>
        <v>0</v>
      </c>
      <c r="BD43" s="52">
        <f t="shared" si="28"/>
        <v>3.2</v>
      </c>
      <c r="BE43" s="52">
        <f t="shared" si="29"/>
        <v>0</v>
      </c>
      <c r="BF43" s="52">
        <f t="shared" si="30"/>
        <v>3.2</v>
      </c>
      <c r="BG43" s="49">
        <f t="shared" si="31"/>
        <v>1</v>
      </c>
      <c r="BH43" s="49">
        <f t="shared" si="32"/>
        <v>0</v>
      </c>
      <c r="BI43" s="100"/>
      <c r="BJ43" s="49"/>
      <c r="BK43" s="49"/>
      <c r="BL43" s="49"/>
      <c r="BM43" s="49"/>
      <c r="BN43" s="49"/>
      <c r="BO43" s="41">
        <f t="shared" ref="BO43:BO50" si="47">Q43</f>
        <v>0</v>
      </c>
      <c r="BP43" s="41">
        <f t="shared" si="38"/>
        <v>0</v>
      </c>
      <c r="BQ43" s="3"/>
      <c r="BR43" s="56">
        <v>0</v>
      </c>
      <c r="BS43" s="14">
        <v>0</v>
      </c>
      <c r="BT43" s="14">
        <v>0</v>
      </c>
      <c r="BU43" s="114">
        <v>0</v>
      </c>
      <c r="BV43" s="123">
        <f t="shared" si="2"/>
        <v>64</v>
      </c>
      <c r="BW43" s="113">
        <f t="shared" si="3"/>
        <v>36.703747899408839</v>
      </c>
      <c r="BX43" s="113">
        <f t="shared" si="4"/>
        <v>3179.52</v>
      </c>
      <c r="BY43" s="113">
        <f t="shared" si="5"/>
        <v>1823.4421956426311</v>
      </c>
      <c r="BZ43" s="124">
        <f t="shared" si="6"/>
        <v>0</v>
      </c>
      <c r="CA43" s="125">
        <f t="shared" si="7"/>
        <v>0</v>
      </c>
    </row>
    <row r="44" spans="1:79" s="27" customFormat="1">
      <c r="A44" s="14" t="s">
        <v>38</v>
      </c>
      <c r="B44" s="12" t="s">
        <v>37</v>
      </c>
      <c r="C44" t="s">
        <v>224</v>
      </c>
      <c r="D44" s="9"/>
      <c r="E44" s="32"/>
      <c r="F44" s="32"/>
      <c r="G44" s="32"/>
      <c r="H44" s="32" t="s">
        <v>122</v>
      </c>
      <c r="I44" s="32"/>
      <c r="J44" s="18"/>
      <c r="K44" s="16"/>
      <c r="L44" s="16"/>
      <c r="M44" s="16"/>
      <c r="N44" s="16">
        <v>120.35</v>
      </c>
      <c r="O44" s="16"/>
      <c r="P44" s="16">
        <f t="shared" si="39"/>
        <v>120.35</v>
      </c>
      <c r="Q44" s="70"/>
      <c r="R44" s="49">
        <v>1</v>
      </c>
      <c r="S44" s="49">
        <v>0</v>
      </c>
      <c r="T44" s="33">
        <f t="shared" si="40"/>
        <v>0</v>
      </c>
      <c r="U44" s="16"/>
      <c r="V44" s="16"/>
      <c r="W44" s="16"/>
      <c r="X44" s="16"/>
      <c r="Y44" s="16">
        <v>29.4</v>
      </c>
      <c r="Z44" s="16"/>
      <c r="AA44" s="16">
        <f t="shared" si="41"/>
        <v>29.4</v>
      </c>
      <c r="AB44" s="14"/>
      <c r="AC44" s="49">
        <v>1</v>
      </c>
      <c r="AD44" s="49">
        <v>0</v>
      </c>
      <c r="AE44" s="33">
        <f t="shared" si="42"/>
        <v>0</v>
      </c>
      <c r="AF44" s="8"/>
      <c r="AG44" s="12"/>
      <c r="AH44" s="12"/>
      <c r="AI44" s="12"/>
      <c r="AJ44" s="12">
        <v>0</v>
      </c>
      <c r="AK44" s="12"/>
      <c r="AL44" s="16">
        <f t="shared" si="43"/>
        <v>0</v>
      </c>
      <c r="AM44" s="15">
        <v>0</v>
      </c>
      <c r="AN44" s="43"/>
      <c r="AO44" s="9" t="str">
        <f t="shared" si="44"/>
        <v>No</v>
      </c>
      <c r="AP44" s="48" t="str">
        <f t="shared" si="45"/>
        <v>No</v>
      </c>
      <c r="AQ44" s="51">
        <f t="shared" si="15"/>
        <v>0</v>
      </c>
      <c r="AR44" s="52">
        <f t="shared" si="16"/>
        <v>0</v>
      </c>
      <c r="AS44" s="52">
        <f t="shared" si="17"/>
        <v>0</v>
      </c>
      <c r="AT44" s="52">
        <f t="shared" si="18"/>
        <v>0</v>
      </c>
      <c r="AU44" s="52">
        <f t="shared" si="19"/>
        <v>120.35</v>
      </c>
      <c r="AV44" s="52">
        <f t="shared" si="20"/>
        <v>0</v>
      </c>
      <c r="AW44" s="52">
        <f t="shared" si="21"/>
        <v>120.35</v>
      </c>
      <c r="AX44" s="49">
        <f t="shared" si="22"/>
        <v>1</v>
      </c>
      <c r="AY44" s="53">
        <f t="shared" si="23"/>
        <v>0</v>
      </c>
      <c r="AZ44" s="51">
        <f t="shared" si="24"/>
        <v>0</v>
      </c>
      <c r="BA44" s="52">
        <f t="shared" si="25"/>
        <v>0</v>
      </c>
      <c r="BB44" s="52">
        <f t="shared" si="26"/>
        <v>0</v>
      </c>
      <c r="BC44" s="52">
        <f t="shared" si="27"/>
        <v>0</v>
      </c>
      <c r="BD44" s="52">
        <f t="shared" si="28"/>
        <v>29.4</v>
      </c>
      <c r="BE44" s="52">
        <f t="shared" si="29"/>
        <v>0</v>
      </c>
      <c r="BF44" s="52">
        <f t="shared" si="30"/>
        <v>29.4</v>
      </c>
      <c r="BG44" s="49">
        <f t="shared" si="31"/>
        <v>1</v>
      </c>
      <c r="BH44" s="49">
        <f t="shared" si="32"/>
        <v>0</v>
      </c>
      <c r="BI44" s="100"/>
      <c r="BJ44" s="49"/>
      <c r="BK44" s="49"/>
      <c r="BL44" s="49"/>
      <c r="BM44" s="49"/>
      <c r="BN44" s="49"/>
      <c r="BO44" s="41">
        <f t="shared" si="47"/>
        <v>0</v>
      </c>
      <c r="BP44" s="41">
        <f t="shared" si="38"/>
        <v>0</v>
      </c>
      <c r="BQ44" s="14"/>
      <c r="BR44" s="56">
        <v>0</v>
      </c>
      <c r="BS44" s="14">
        <v>0</v>
      </c>
      <c r="BT44" s="14">
        <v>0</v>
      </c>
      <c r="BU44" s="114">
        <v>0</v>
      </c>
      <c r="BV44" s="123">
        <f t="shared" si="2"/>
        <v>588</v>
      </c>
      <c r="BW44" s="113">
        <f t="shared" si="3"/>
        <v>337.2156838258187</v>
      </c>
      <c r="BX44" s="113">
        <f t="shared" si="4"/>
        <v>29211.84</v>
      </c>
      <c r="BY44" s="113">
        <f t="shared" si="5"/>
        <v>16752.875172466673</v>
      </c>
      <c r="BZ44" s="124">
        <f t="shared" si="6"/>
        <v>0</v>
      </c>
      <c r="CA44" s="125">
        <f t="shared" si="7"/>
        <v>0</v>
      </c>
    </row>
    <row r="45" spans="1:79" s="27" customFormat="1">
      <c r="A45" s="14" t="s">
        <v>205</v>
      </c>
      <c r="B45" s="14" t="s">
        <v>37</v>
      </c>
      <c r="C45" t="s">
        <v>224</v>
      </c>
      <c r="D45" s="36" t="s">
        <v>122</v>
      </c>
      <c r="E45" s="31" t="s">
        <v>122</v>
      </c>
      <c r="F45" s="31" t="s">
        <v>122</v>
      </c>
      <c r="G45" s="31" t="s">
        <v>122</v>
      </c>
      <c r="H45" s="31" t="s">
        <v>122</v>
      </c>
      <c r="I45" s="31" t="s">
        <v>122</v>
      </c>
      <c r="J45" s="18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f t="shared" si="39"/>
        <v>0</v>
      </c>
      <c r="Q45" s="70"/>
      <c r="R45" s="49">
        <v>1</v>
      </c>
      <c r="S45" s="49">
        <v>0</v>
      </c>
      <c r="T45" s="33">
        <f t="shared" si="40"/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f t="shared" si="41"/>
        <v>0</v>
      </c>
      <c r="AB45" s="15"/>
      <c r="AC45" s="49">
        <v>1</v>
      </c>
      <c r="AD45" s="49">
        <v>0</v>
      </c>
      <c r="AE45" s="33">
        <f t="shared" si="42"/>
        <v>0</v>
      </c>
      <c r="AF45" s="8"/>
      <c r="AG45" s="12"/>
      <c r="AH45" s="12"/>
      <c r="AI45" s="12"/>
      <c r="AJ45" s="12"/>
      <c r="AK45" s="12"/>
      <c r="AL45" s="16">
        <f t="shared" si="43"/>
        <v>2</v>
      </c>
      <c r="AM45" s="15">
        <f>BU45</f>
        <v>2</v>
      </c>
      <c r="AN45" s="43"/>
      <c r="AO45" s="9" t="str">
        <f t="shared" si="44"/>
        <v>No</v>
      </c>
      <c r="AP45" s="48" t="str">
        <f t="shared" si="45"/>
        <v>No</v>
      </c>
      <c r="AQ45" s="51">
        <f t="shared" si="15"/>
        <v>0</v>
      </c>
      <c r="AR45" s="52">
        <f t="shared" si="16"/>
        <v>0</v>
      </c>
      <c r="AS45" s="52">
        <f t="shared" si="17"/>
        <v>0</v>
      </c>
      <c r="AT45" s="52">
        <f t="shared" si="18"/>
        <v>0</v>
      </c>
      <c r="AU45" s="52">
        <f t="shared" si="19"/>
        <v>0</v>
      </c>
      <c r="AV45" s="52">
        <f t="shared" si="20"/>
        <v>0</v>
      </c>
      <c r="AW45" s="52">
        <f t="shared" si="21"/>
        <v>0</v>
      </c>
      <c r="AX45" s="49">
        <f t="shared" si="22"/>
        <v>1</v>
      </c>
      <c r="AY45" s="53">
        <f t="shared" si="23"/>
        <v>0</v>
      </c>
      <c r="AZ45" s="51">
        <f t="shared" si="24"/>
        <v>0</v>
      </c>
      <c r="BA45" s="52">
        <f t="shared" si="25"/>
        <v>0</v>
      </c>
      <c r="BB45" s="52">
        <f t="shared" si="26"/>
        <v>0</v>
      </c>
      <c r="BC45" s="52">
        <f t="shared" si="27"/>
        <v>0</v>
      </c>
      <c r="BD45" s="52">
        <f t="shared" si="28"/>
        <v>0</v>
      </c>
      <c r="BE45" s="52">
        <f t="shared" si="29"/>
        <v>0</v>
      </c>
      <c r="BF45" s="52">
        <f t="shared" si="30"/>
        <v>0</v>
      </c>
      <c r="BG45" s="49">
        <f t="shared" si="31"/>
        <v>1</v>
      </c>
      <c r="BH45" s="49">
        <f t="shared" si="32"/>
        <v>0</v>
      </c>
      <c r="BI45" s="100"/>
      <c r="BJ45" s="49"/>
      <c r="BK45" s="49"/>
      <c r="BL45" s="49"/>
      <c r="BM45" s="49"/>
      <c r="BN45" s="49"/>
      <c r="BO45" s="41">
        <f t="shared" si="47"/>
        <v>0</v>
      </c>
      <c r="BP45" s="41">
        <f t="shared" si="38"/>
        <v>0</v>
      </c>
      <c r="BQ45" s="14"/>
      <c r="BR45" s="56">
        <v>1.9</v>
      </c>
      <c r="BS45" s="14">
        <v>2.2000000000000002</v>
      </c>
      <c r="BT45" s="14">
        <v>2.1</v>
      </c>
      <c r="BU45" s="114">
        <v>2</v>
      </c>
      <c r="BV45" s="123">
        <f t="shared" si="2"/>
        <v>0</v>
      </c>
      <c r="BW45" s="113">
        <f t="shared" si="3"/>
        <v>0</v>
      </c>
      <c r="BX45" s="113">
        <f t="shared" si="4"/>
        <v>0</v>
      </c>
      <c r="BY45" s="113">
        <f t="shared" si="5"/>
        <v>0</v>
      </c>
      <c r="BZ45" s="124" t="e">
        <f t="shared" si="6"/>
        <v>#DIV/0!</v>
      </c>
      <c r="CA45" s="125" t="e">
        <f t="shared" si="7"/>
        <v>#DIV/0!</v>
      </c>
    </row>
    <row r="46" spans="1:79" s="27" customFormat="1">
      <c r="A46" s="14" t="s">
        <v>15</v>
      </c>
      <c r="B46" s="12" t="s">
        <v>16</v>
      </c>
      <c r="C46" t="s">
        <v>224</v>
      </c>
      <c r="D46" s="9" t="s">
        <v>122</v>
      </c>
      <c r="E46" s="32" t="s">
        <v>122</v>
      </c>
      <c r="F46" s="32"/>
      <c r="G46" s="32"/>
      <c r="H46" s="32"/>
      <c r="I46" s="32"/>
      <c r="J46" s="18"/>
      <c r="K46" s="16"/>
      <c r="L46" s="16"/>
      <c r="M46" s="16"/>
      <c r="N46" s="16"/>
      <c r="O46" s="16"/>
      <c r="P46" s="16">
        <f t="shared" si="39"/>
        <v>1.65</v>
      </c>
      <c r="Q46" s="15">
        <f>AB46</f>
        <v>1.65</v>
      </c>
      <c r="R46" s="49">
        <v>1</v>
      </c>
      <c r="S46" s="49">
        <v>0</v>
      </c>
      <c r="T46" s="33">
        <f t="shared" si="40"/>
        <v>0</v>
      </c>
      <c r="U46" s="16"/>
      <c r="V46" s="16"/>
      <c r="W46" s="16"/>
      <c r="X46" s="16"/>
      <c r="Y46" s="16"/>
      <c r="Z46" s="16"/>
      <c r="AA46" s="16">
        <f t="shared" si="41"/>
        <v>1.65</v>
      </c>
      <c r="AB46" s="14">
        <f>1650/1000</f>
        <v>1.65</v>
      </c>
      <c r="AC46" s="49">
        <v>1</v>
      </c>
      <c r="AD46" s="49">
        <v>0</v>
      </c>
      <c r="AE46" s="33">
        <f t="shared" si="42"/>
        <v>0</v>
      </c>
      <c r="AF46" s="8"/>
      <c r="AG46" s="12"/>
      <c r="AH46" s="12"/>
      <c r="AI46" s="12"/>
      <c r="AJ46" s="12"/>
      <c r="AK46" s="12"/>
      <c r="AL46" s="16">
        <f t="shared" si="43"/>
        <v>1.55E-2</v>
      </c>
      <c r="AM46" s="15">
        <f>15500/1000000</f>
        <v>1.55E-2</v>
      </c>
      <c r="AN46" s="43" t="s">
        <v>122</v>
      </c>
      <c r="AO46" s="9" t="str">
        <f t="shared" si="44"/>
        <v>Yes</v>
      </c>
      <c r="AP46" s="48" t="str">
        <f t="shared" si="45"/>
        <v>No</v>
      </c>
      <c r="AQ46" s="51">
        <f t="shared" si="15"/>
        <v>0.55390967759174958</v>
      </c>
      <c r="AR46" s="52">
        <f t="shared" si="16"/>
        <v>0.81905185051608198</v>
      </c>
      <c r="AS46" s="52">
        <f t="shared" si="17"/>
        <v>8.4543288976278566E-2</v>
      </c>
      <c r="AT46" s="52">
        <f t="shared" si="18"/>
        <v>0.19249518291588977</v>
      </c>
      <c r="AU46" s="52">
        <f t="shared" si="19"/>
        <v>0</v>
      </c>
      <c r="AV46" s="52">
        <f t="shared" si="20"/>
        <v>0</v>
      </c>
      <c r="AW46" s="52">
        <f t="shared" si="21"/>
        <v>1.65</v>
      </c>
      <c r="AX46" s="49">
        <f t="shared" si="22"/>
        <v>1</v>
      </c>
      <c r="AY46" s="53">
        <f t="shared" si="23"/>
        <v>0</v>
      </c>
      <c r="AZ46" s="51">
        <f t="shared" si="24"/>
        <v>0.55390967759174958</v>
      </c>
      <c r="BA46" s="52">
        <f t="shared" si="25"/>
        <v>0.81905185051608198</v>
      </c>
      <c r="BB46" s="52">
        <f t="shared" si="26"/>
        <v>8.4543288976278566E-2</v>
      </c>
      <c r="BC46" s="52">
        <f t="shared" si="27"/>
        <v>0.19249518291588977</v>
      </c>
      <c r="BD46" s="52">
        <f t="shared" si="28"/>
        <v>0</v>
      </c>
      <c r="BE46" s="52">
        <f t="shared" si="29"/>
        <v>0</v>
      </c>
      <c r="BF46" s="52">
        <f t="shared" si="30"/>
        <v>1.65</v>
      </c>
      <c r="BG46" s="49">
        <f t="shared" si="31"/>
        <v>1</v>
      </c>
      <c r="BH46" s="49">
        <f t="shared" si="32"/>
        <v>0</v>
      </c>
      <c r="BI46" s="100">
        <f>BI$53/SUM($BI$53:$BL$53)</f>
        <v>0.33570283490409064</v>
      </c>
      <c r="BJ46" s="49">
        <f>BJ$53/SUM($BI$53:$BL$53)</f>
        <v>0.49639506091883762</v>
      </c>
      <c r="BK46" s="49">
        <f>BK$53/SUM($BI$53:$BL$53)</f>
        <v>5.1238356955320342E-2</v>
      </c>
      <c r="BL46" s="49">
        <f>BL$53/SUM($BI$53:$BL$53)</f>
        <v>0.11666374722175138</v>
      </c>
      <c r="BM46" s="49"/>
      <c r="BN46" s="49"/>
      <c r="BO46" s="41">
        <f t="shared" si="47"/>
        <v>1.65</v>
      </c>
      <c r="BP46" s="41">
        <f t="shared" si="38"/>
        <v>1.65</v>
      </c>
      <c r="BQ46" s="41" t="s">
        <v>88</v>
      </c>
      <c r="BR46" s="56">
        <v>0</v>
      </c>
      <c r="BS46" s="3">
        <v>0</v>
      </c>
      <c r="BT46" s="3">
        <v>0</v>
      </c>
      <c r="BU46" s="41">
        <f t="shared" ref="BU46:BU51" si="48">AL46</f>
        <v>1.55E-2</v>
      </c>
      <c r="BV46" s="123">
        <f t="shared" si="2"/>
        <v>33</v>
      </c>
      <c r="BW46" s="113">
        <f t="shared" si="3"/>
        <v>18.925370010632683</v>
      </c>
      <c r="BX46" s="113">
        <f t="shared" si="4"/>
        <v>1639.44</v>
      </c>
      <c r="BY46" s="113">
        <f t="shared" si="5"/>
        <v>940.21238212823175</v>
      </c>
      <c r="BZ46" s="124">
        <f t="shared" si="6"/>
        <v>0.81900644432799807</v>
      </c>
      <c r="CA46" s="125">
        <f t="shared" si="7"/>
        <v>16.485636963123952</v>
      </c>
    </row>
    <row r="47" spans="1:79" s="27" customFormat="1">
      <c r="A47" s="12" t="s">
        <v>177</v>
      </c>
      <c r="B47" s="12" t="s">
        <v>120</v>
      </c>
      <c r="C47" s="12" t="s">
        <v>28</v>
      </c>
      <c r="D47" s="9" t="s">
        <v>122</v>
      </c>
      <c r="E47" s="32" t="s">
        <v>122</v>
      </c>
      <c r="F47" s="32"/>
      <c r="G47" s="32"/>
      <c r="H47" s="32"/>
      <c r="I47" s="32"/>
      <c r="J47" s="18"/>
      <c r="K47" s="16"/>
      <c r="L47" s="16"/>
      <c r="M47" s="16"/>
      <c r="N47" s="16"/>
      <c r="O47" s="16"/>
      <c r="P47" s="16">
        <f t="shared" si="39"/>
        <v>1.1591788000000001</v>
      </c>
      <c r="Q47" s="15">
        <f>AB47</f>
        <v>1.1591788000000001</v>
      </c>
      <c r="R47" s="49">
        <v>0.65</v>
      </c>
      <c r="S47" s="49">
        <v>0.35</v>
      </c>
      <c r="T47" s="33">
        <f t="shared" si="40"/>
        <v>0</v>
      </c>
      <c r="U47" s="16"/>
      <c r="V47" s="16"/>
      <c r="W47" s="16"/>
      <c r="X47" s="16"/>
      <c r="Y47" s="16"/>
      <c r="Z47" s="16"/>
      <c r="AA47" s="16">
        <f t="shared" si="41"/>
        <v>1.1591788000000001</v>
      </c>
      <c r="AB47" s="15">
        <f>(160.883*3.6+580)/1000</f>
        <v>1.1591788000000001</v>
      </c>
      <c r="AC47" s="49">
        <v>0.65</v>
      </c>
      <c r="AD47" s="49">
        <v>0.35</v>
      </c>
      <c r="AE47" s="33">
        <f t="shared" si="42"/>
        <v>0</v>
      </c>
      <c r="AF47" s="8"/>
      <c r="AG47" s="12"/>
      <c r="AH47" s="12"/>
      <c r="AI47" s="12"/>
      <c r="AJ47" s="12"/>
      <c r="AK47" s="12"/>
      <c r="AL47" s="16">
        <f t="shared" si="43"/>
        <v>1.4E-2</v>
      </c>
      <c r="AM47" s="15">
        <f>14000/1000000</f>
        <v>1.4E-2</v>
      </c>
      <c r="AN47" s="43" t="s">
        <v>122</v>
      </c>
      <c r="AO47" s="9" t="str">
        <f t="shared" si="44"/>
        <v>Yes</v>
      </c>
      <c r="AP47" s="48" t="str">
        <f t="shared" si="45"/>
        <v>No</v>
      </c>
      <c r="AQ47" s="51">
        <f t="shared" si="15"/>
        <v>0.87722470016293974</v>
      </c>
      <c r="AR47" s="52">
        <f t="shared" si="16"/>
        <v>8.0451128058119228E-2</v>
      </c>
      <c r="AS47" s="52">
        <f t="shared" si="17"/>
        <v>0.18510927994963727</v>
      </c>
      <c r="AT47" s="52">
        <f t="shared" si="18"/>
        <v>1.6393691829303985E-2</v>
      </c>
      <c r="AU47" s="52">
        <f t="shared" si="19"/>
        <v>0</v>
      </c>
      <c r="AV47" s="52">
        <f t="shared" si="20"/>
        <v>0</v>
      </c>
      <c r="AW47" s="52">
        <f t="shared" si="21"/>
        <v>1.1591788000000003</v>
      </c>
      <c r="AX47" s="49">
        <f t="shared" si="22"/>
        <v>0.65</v>
      </c>
      <c r="AY47" s="53">
        <f t="shared" si="23"/>
        <v>0.35</v>
      </c>
      <c r="AZ47" s="51">
        <f t="shared" si="24"/>
        <v>0.87722470016293974</v>
      </c>
      <c r="BA47" s="52">
        <f t="shared" si="25"/>
        <v>8.0451128058119228E-2</v>
      </c>
      <c r="BB47" s="52">
        <f t="shared" si="26"/>
        <v>0.18510927994963727</v>
      </c>
      <c r="BC47" s="52">
        <f t="shared" si="27"/>
        <v>1.6393691829303985E-2</v>
      </c>
      <c r="BD47" s="52">
        <f t="shared" si="28"/>
        <v>0</v>
      </c>
      <c r="BE47" s="52">
        <f t="shared" si="29"/>
        <v>0</v>
      </c>
      <c r="BF47" s="52">
        <f t="shared" si="30"/>
        <v>1.1591788000000003</v>
      </c>
      <c r="BG47" s="49">
        <f t="shared" si="31"/>
        <v>0.65</v>
      </c>
      <c r="BH47" s="49">
        <f t="shared" si="32"/>
        <v>0.35</v>
      </c>
      <c r="BI47" s="100">
        <f>BI$52/SUM($BI$52:$BL$52)</f>
        <v>0.75676392646495927</v>
      </c>
      <c r="BJ47" s="49">
        <f>BJ$52/SUM($BI$52:$BL$52)</f>
        <v>6.9403553669303841E-2</v>
      </c>
      <c r="BK47" s="49">
        <f>BK$52/SUM($BI$52:$BL$52)</f>
        <v>0.15969001499133462</v>
      </c>
      <c r="BL47" s="49">
        <f>BL$52/SUM($BI$52:$BL$52)</f>
        <v>1.414250487440245E-2</v>
      </c>
      <c r="BM47" s="49"/>
      <c r="BN47" s="49"/>
      <c r="BO47" s="41">
        <f t="shared" si="47"/>
        <v>1.1591788000000001</v>
      </c>
      <c r="BP47" s="41">
        <f t="shared" si="38"/>
        <v>1.1591788000000001</v>
      </c>
      <c r="BQ47" s="40" t="s">
        <v>87</v>
      </c>
      <c r="BR47" s="56">
        <v>0</v>
      </c>
      <c r="BS47" s="3">
        <v>0</v>
      </c>
      <c r="BT47" s="3">
        <v>0</v>
      </c>
      <c r="BU47" s="41">
        <f t="shared" si="48"/>
        <v>1.4E-2</v>
      </c>
      <c r="BV47" s="123">
        <f t="shared" si="2"/>
        <v>23.183576000000002</v>
      </c>
      <c r="BW47" s="113">
        <f t="shared" si="3"/>
        <v>13.29568951423102</v>
      </c>
      <c r="BX47" s="113">
        <f t="shared" si="4"/>
        <v>1560.0691961920002</v>
      </c>
      <c r="BY47" s="113">
        <f t="shared" si="5"/>
        <v>894.69353879163384</v>
      </c>
      <c r="BZ47" s="124">
        <f t="shared" si="6"/>
        <v>1.0529728439442816</v>
      </c>
      <c r="CA47" s="125">
        <f t="shared" si="7"/>
        <v>15.647816143735978</v>
      </c>
    </row>
    <row r="48" spans="1:79" s="27" customFormat="1">
      <c r="A48" s="14" t="s">
        <v>27</v>
      </c>
      <c r="B48" s="14" t="s">
        <v>119</v>
      </c>
      <c r="C48" s="14" t="s">
        <v>28</v>
      </c>
      <c r="D48" s="9" t="s">
        <v>122</v>
      </c>
      <c r="E48" s="32" t="s">
        <v>122</v>
      </c>
      <c r="F48" s="32" t="s">
        <v>122</v>
      </c>
      <c r="G48" s="32" t="s">
        <v>122</v>
      </c>
      <c r="H48" s="32" t="s">
        <v>122</v>
      </c>
      <c r="I48" s="32" t="s">
        <v>122</v>
      </c>
      <c r="J48" s="18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f t="shared" si="39"/>
        <v>0</v>
      </c>
      <c r="Q48" s="15"/>
      <c r="R48" s="49">
        <v>0</v>
      </c>
      <c r="S48" s="49">
        <v>0</v>
      </c>
      <c r="T48" s="33">
        <f t="shared" si="40"/>
        <v>1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f t="shared" si="41"/>
        <v>0</v>
      </c>
      <c r="AB48" s="14"/>
      <c r="AC48" s="49">
        <v>0</v>
      </c>
      <c r="AD48" s="49">
        <v>0</v>
      </c>
      <c r="AE48" s="33">
        <f t="shared" si="42"/>
        <v>1</v>
      </c>
      <c r="AF48" s="8"/>
      <c r="AG48" s="12"/>
      <c r="AH48" s="12"/>
      <c r="AI48" s="12"/>
      <c r="AJ48" s="12"/>
      <c r="AK48" s="12"/>
      <c r="AL48" s="16">
        <f t="shared" si="43"/>
        <v>0.29717900000000003</v>
      </c>
      <c r="AM48" s="15">
        <f>297179/1000000</f>
        <v>0.29717900000000003</v>
      </c>
      <c r="AN48" s="43" t="s">
        <v>122</v>
      </c>
      <c r="AO48" s="9" t="str">
        <f t="shared" si="44"/>
        <v>No</v>
      </c>
      <c r="AP48" s="48" t="str">
        <f t="shared" si="45"/>
        <v>Yes</v>
      </c>
      <c r="AQ48" s="51">
        <f t="shared" si="15"/>
        <v>0</v>
      </c>
      <c r="AR48" s="52">
        <f t="shared" si="16"/>
        <v>0</v>
      </c>
      <c r="AS48" s="52">
        <f t="shared" si="17"/>
        <v>0</v>
      </c>
      <c r="AT48" s="52">
        <f t="shared" si="18"/>
        <v>0</v>
      </c>
      <c r="AU48" s="52">
        <f t="shared" si="19"/>
        <v>0</v>
      </c>
      <c r="AV48" s="52">
        <f t="shared" si="20"/>
        <v>0</v>
      </c>
      <c r="AW48" s="52">
        <f t="shared" si="21"/>
        <v>0</v>
      </c>
      <c r="AX48" s="49">
        <f t="shared" si="22"/>
        <v>0.6</v>
      </c>
      <c r="AY48" s="53">
        <f t="shared" si="23"/>
        <v>0.4</v>
      </c>
      <c r="AZ48" s="51">
        <f t="shared" si="24"/>
        <v>0</v>
      </c>
      <c r="BA48" s="52">
        <f t="shared" si="25"/>
        <v>0</v>
      </c>
      <c r="BB48" s="52">
        <f t="shared" si="26"/>
        <v>0</v>
      </c>
      <c r="BC48" s="52">
        <f t="shared" si="27"/>
        <v>0</v>
      </c>
      <c r="BD48" s="52">
        <f t="shared" si="28"/>
        <v>0</v>
      </c>
      <c r="BE48" s="52">
        <f t="shared" si="29"/>
        <v>0</v>
      </c>
      <c r="BF48" s="52">
        <f t="shared" si="30"/>
        <v>0</v>
      </c>
      <c r="BG48" s="49">
        <f t="shared" si="31"/>
        <v>0.6</v>
      </c>
      <c r="BH48" s="49">
        <f t="shared" si="32"/>
        <v>0.4</v>
      </c>
      <c r="BI48" s="100"/>
      <c r="BJ48" s="49"/>
      <c r="BK48" s="49"/>
      <c r="BL48" s="49"/>
      <c r="BM48" s="49"/>
      <c r="BN48" s="49"/>
      <c r="BO48" s="41">
        <f t="shared" si="47"/>
        <v>0</v>
      </c>
      <c r="BP48" s="41">
        <f t="shared" si="38"/>
        <v>0</v>
      </c>
      <c r="BQ48" s="14"/>
      <c r="BR48" s="56">
        <v>0</v>
      </c>
      <c r="BS48" s="3">
        <v>0</v>
      </c>
      <c r="BT48" s="3">
        <v>0</v>
      </c>
      <c r="BU48" s="41">
        <f t="shared" si="48"/>
        <v>0.29717900000000003</v>
      </c>
      <c r="BV48" s="123">
        <f t="shared" si="2"/>
        <v>0</v>
      </c>
      <c r="BW48" s="113">
        <f t="shared" si="3"/>
        <v>0</v>
      </c>
      <c r="BX48" s="113">
        <f t="shared" si="4"/>
        <v>0</v>
      </c>
      <c r="BY48" s="113">
        <f t="shared" si="5"/>
        <v>0</v>
      </c>
      <c r="BZ48" s="124" t="e">
        <f t="shared" si="6"/>
        <v>#DIV/0!</v>
      </c>
      <c r="CA48" s="125" t="e">
        <f t="shared" si="7"/>
        <v>#DIV/0!</v>
      </c>
    </row>
    <row r="49" spans="1:79">
      <c r="A49" s="12" t="s">
        <v>123</v>
      </c>
      <c r="B49" s="12" t="s">
        <v>121</v>
      </c>
      <c r="C49" s="12" t="s">
        <v>28</v>
      </c>
      <c r="D49" s="32"/>
      <c r="E49" s="32"/>
      <c r="F49" s="31"/>
      <c r="G49" s="31"/>
      <c r="H49" s="32" t="s">
        <v>122</v>
      </c>
      <c r="I49" s="90" t="s">
        <v>122</v>
      </c>
      <c r="J49" s="16"/>
      <c r="K49" s="16"/>
      <c r="L49" s="16"/>
      <c r="M49" s="16"/>
      <c r="N49" s="16"/>
      <c r="O49" s="16"/>
      <c r="P49" s="16">
        <f t="shared" si="39"/>
        <v>10.000400000000001</v>
      </c>
      <c r="Q49" s="15">
        <f>AB49</f>
        <v>10.000400000000001</v>
      </c>
      <c r="R49" s="49">
        <f>AC49</f>
        <v>0.49998000079996791</v>
      </c>
      <c r="S49" s="49">
        <f>AD49</f>
        <v>0.50001999920003204</v>
      </c>
      <c r="T49" s="33">
        <f t="shared" si="40"/>
        <v>0</v>
      </c>
      <c r="U49" s="16"/>
      <c r="V49" s="16"/>
      <c r="W49" s="16"/>
      <c r="X49" s="16"/>
      <c r="Y49" s="16"/>
      <c r="Z49" s="16"/>
      <c r="AA49" s="16">
        <f t="shared" si="41"/>
        <v>10.000400000000001</v>
      </c>
      <c r="AB49" s="15">
        <f>(1389*3.6+ 5000)/1000</f>
        <v>10.000400000000001</v>
      </c>
      <c r="AC49" s="49">
        <f>5000/(5000+1389*3.6)</f>
        <v>0.49998000079996791</v>
      </c>
      <c r="AD49" s="49">
        <f>1-AC49</f>
        <v>0.50001999920003204</v>
      </c>
      <c r="AE49" s="33">
        <f t="shared" si="42"/>
        <v>0</v>
      </c>
      <c r="AL49" s="16">
        <f t="shared" si="43"/>
        <v>9.8000000000000004E-2</v>
      </c>
      <c r="AM49" s="15">
        <f>98000/1000000</f>
        <v>9.8000000000000004E-2</v>
      </c>
      <c r="AN49" s="43" t="s">
        <v>122</v>
      </c>
      <c r="AO49" s="9" t="str">
        <f t="shared" si="44"/>
        <v>Yes</v>
      </c>
      <c r="AP49" s="48" t="str">
        <f t="shared" si="45"/>
        <v>No</v>
      </c>
      <c r="AQ49" s="51">
        <f t="shared" si="15"/>
        <v>0</v>
      </c>
      <c r="AR49" s="52">
        <f t="shared" si="16"/>
        <v>0</v>
      </c>
      <c r="AS49" s="52">
        <f t="shared" si="17"/>
        <v>0</v>
      </c>
      <c r="AT49" s="52">
        <f t="shared" si="18"/>
        <v>0</v>
      </c>
      <c r="AU49" s="52">
        <f t="shared" si="19"/>
        <v>9.4858526313727776</v>
      </c>
      <c r="AV49" s="52">
        <f t="shared" si="20"/>
        <v>0.51454736862722461</v>
      </c>
      <c r="AW49" s="52">
        <f t="shared" si="21"/>
        <v>10.000400000000003</v>
      </c>
      <c r="AX49" s="49">
        <f t="shared" si="22"/>
        <v>0.49998000079996791</v>
      </c>
      <c r="AY49" s="53">
        <f t="shared" si="23"/>
        <v>0.50001999920003204</v>
      </c>
      <c r="AZ49" s="51">
        <f t="shared" si="24"/>
        <v>0</v>
      </c>
      <c r="BA49" s="52">
        <f t="shared" si="25"/>
        <v>0</v>
      </c>
      <c r="BB49" s="52">
        <f t="shared" si="26"/>
        <v>0</v>
      </c>
      <c r="BC49" s="52">
        <f t="shared" si="27"/>
        <v>0</v>
      </c>
      <c r="BD49" s="52">
        <f t="shared" si="28"/>
        <v>9.4858526313727776</v>
      </c>
      <c r="BE49" s="52">
        <f t="shared" si="29"/>
        <v>0.51454736862722461</v>
      </c>
      <c r="BF49" s="52">
        <f t="shared" si="30"/>
        <v>10.000400000000003</v>
      </c>
      <c r="BG49" s="49">
        <f t="shared" si="31"/>
        <v>0.49998000079996791</v>
      </c>
      <c r="BH49" s="49">
        <f t="shared" si="32"/>
        <v>0.50001999920003204</v>
      </c>
      <c r="BI49" s="100"/>
      <c r="BJ49" s="49"/>
      <c r="BK49" s="49"/>
      <c r="BL49" s="49"/>
      <c r="BM49" s="49">
        <f>BM$52/SUM($BM$52:$BN$52)</f>
        <v>0.94854732124442787</v>
      </c>
      <c r="BN49" s="49">
        <f>BN$52/SUM($BM$52:$BN$52)</f>
        <v>5.1452678755572238E-2</v>
      </c>
      <c r="BO49" s="41">
        <f t="shared" si="47"/>
        <v>10.000400000000001</v>
      </c>
      <c r="BP49" s="41">
        <f t="shared" si="38"/>
        <v>10.000400000000001</v>
      </c>
      <c r="BQ49" s="40" t="s">
        <v>87</v>
      </c>
      <c r="BR49" s="56">
        <v>0</v>
      </c>
      <c r="BS49" s="3">
        <v>0</v>
      </c>
      <c r="BT49" s="3">
        <v>0</v>
      </c>
      <c r="BU49" s="41">
        <f t="shared" si="48"/>
        <v>9.8000000000000004E-2</v>
      </c>
      <c r="BV49" s="123">
        <f t="shared" si="2"/>
        <v>200.00800000000001</v>
      </c>
      <c r="BW49" s="113">
        <f t="shared" si="3"/>
        <v>114.70380015414007</v>
      </c>
      <c r="BX49" s="113">
        <f t="shared" si="4"/>
        <v>14968.8</v>
      </c>
      <c r="BY49" s="113">
        <f t="shared" si="5"/>
        <v>8584.5478368229851</v>
      </c>
      <c r="BZ49" s="124">
        <f t="shared" si="6"/>
        <v>0.85437448339380795</v>
      </c>
      <c r="CA49" s="125">
        <f t="shared" si="7"/>
        <v>11.415860434679383</v>
      </c>
    </row>
    <row r="50" spans="1:79">
      <c r="A50" s="12" t="s">
        <v>258</v>
      </c>
      <c r="B50" s="14" t="s">
        <v>259</v>
      </c>
      <c r="C50" s="14" t="s">
        <v>28</v>
      </c>
      <c r="D50" s="31"/>
      <c r="E50" s="31"/>
      <c r="F50" s="31"/>
      <c r="G50" s="31"/>
      <c r="H50" s="31" t="s">
        <v>122</v>
      </c>
      <c r="I50" s="48" t="s">
        <v>122</v>
      </c>
      <c r="J50" s="16"/>
      <c r="K50" s="16"/>
      <c r="L50" s="16"/>
      <c r="M50" s="16"/>
      <c r="N50" s="16"/>
      <c r="O50" s="16"/>
      <c r="P50" s="16">
        <f t="shared" si="39"/>
        <v>32.005400000000002</v>
      </c>
      <c r="Q50" s="15">
        <f>AB50</f>
        <v>32.005400000000002</v>
      </c>
      <c r="R50" s="49">
        <v>0</v>
      </c>
      <c r="S50" s="49">
        <v>0</v>
      </c>
      <c r="T50" s="33">
        <f t="shared" si="40"/>
        <v>1</v>
      </c>
      <c r="U50" s="16"/>
      <c r="V50" s="16"/>
      <c r="W50" s="16"/>
      <c r="X50" s="16"/>
      <c r="Y50" s="16"/>
      <c r="Z50" s="16"/>
      <c r="AA50" s="16">
        <f t="shared" si="41"/>
        <v>32.005400000000002</v>
      </c>
      <c r="AB50" s="15">
        <f>(4654*3.6+15251)/1000</f>
        <v>32.005400000000002</v>
      </c>
      <c r="AC50" s="49">
        <v>0</v>
      </c>
      <c r="AD50" s="49">
        <v>0</v>
      </c>
      <c r="AE50" s="33">
        <f t="shared" si="42"/>
        <v>1</v>
      </c>
      <c r="AL50" s="16">
        <f t="shared" si="43"/>
        <v>8.7499999999999994E-2</v>
      </c>
      <c r="AM50" s="15">
        <f>87500/1000000</f>
        <v>8.7499999999999994E-2</v>
      </c>
      <c r="AN50" s="43" t="s">
        <v>122</v>
      </c>
      <c r="AO50" s="9" t="str">
        <f t="shared" si="44"/>
        <v>Yes</v>
      </c>
      <c r="AP50" s="48" t="str">
        <f t="shared" si="45"/>
        <v>Yes</v>
      </c>
      <c r="AQ50" s="51">
        <f t="shared" si="15"/>
        <v>0</v>
      </c>
      <c r="AR50" s="52">
        <f t="shared" si="16"/>
        <v>0</v>
      </c>
      <c r="AS50" s="52">
        <f t="shared" si="17"/>
        <v>0</v>
      </c>
      <c r="AT50" s="52">
        <f t="shared" si="18"/>
        <v>0</v>
      </c>
      <c r="AU50" s="52">
        <f t="shared" si="19"/>
        <v>30.358636435356413</v>
      </c>
      <c r="AV50" s="52">
        <f t="shared" si="20"/>
        <v>1.6467635646435919</v>
      </c>
      <c r="AW50" s="52">
        <f t="shared" si="21"/>
        <v>32.005400000000002</v>
      </c>
      <c r="AX50" s="49">
        <f t="shared" si="22"/>
        <v>0.6</v>
      </c>
      <c r="AY50" s="53">
        <f t="shared" si="23"/>
        <v>0.4</v>
      </c>
      <c r="AZ50" s="51">
        <f t="shared" si="24"/>
        <v>0</v>
      </c>
      <c r="BA50" s="52">
        <f t="shared" si="25"/>
        <v>0</v>
      </c>
      <c r="BB50" s="52">
        <f t="shared" si="26"/>
        <v>0</v>
      </c>
      <c r="BC50" s="52">
        <f t="shared" si="27"/>
        <v>0</v>
      </c>
      <c r="BD50" s="52">
        <f t="shared" si="28"/>
        <v>30.358636435356413</v>
      </c>
      <c r="BE50" s="52">
        <f t="shared" si="29"/>
        <v>1.6467635646435919</v>
      </c>
      <c r="BF50" s="52">
        <f t="shared" si="30"/>
        <v>32.005400000000002</v>
      </c>
      <c r="BG50" s="49">
        <f t="shared" si="31"/>
        <v>0.6</v>
      </c>
      <c r="BH50" s="49">
        <f t="shared" si="32"/>
        <v>0.4</v>
      </c>
      <c r="BI50" s="100"/>
      <c r="BJ50" s="49"/>
      <c r="BK50" s="49"/>
      <c r="BL50" s="49"/>
      <c r="BM50" s="49">
        <f>BM$52/SUM($BM$52:$BN$52)</f>
        <v>0.94854732124442787</v>
      </c>
      <c r="BN50" s="49">
        <f>BN$52/SUM($BM$52:$BN$52)</f>
        <v>5.1452678755572238E-2</v>
      </c>
      <c r="BO50" s="41">
        <f t="shared" si="47"/>
        <v>32.005400000000002</v>
      </c>
      <c r="BP50" s="41">
        <f t="shared" si="38"/>
        <v>32.005400000000002</v>
      </c>
      <c r="BQ50" s="40" t="s">
        <v>87</v>
      </c>
      <c r="BR50" s="56">
        <v>0</v>
      </c>
      <c r="BS50" s="3">
        <v>0</v>
      </c>
      <c r="BT50" s="3">
        <v>0</v>
      </c>
      <c r="BU50" s="41">
        <f t="shared" si="48"/>
        <v>8.7499999999999994E-2</v>
      </c>
      <c r="BV50" s="123">
        <f t="shared" si="2"/>
        <v>640.10800000000006</v>
      </c>
      <c r="BW50" s="113">
        <f t="shared" si="3"/>
        <v>367.09941656866869</v>
      </c>
      <c r="BX50" s="113">
        <f t="shared" si="4"/>
        <v>44684.659264000002</v>
      </c>
      <c r="BY50" s="113">
        <f t="shared" si="5"/>
        <v>25626.476071825622</v>
      </c>
      <c r="BZ50" s="124">
        <f t="shared" si="6"/>
        <v>0.23835505056879452</v>
      </c>
      <c r="CA50" s="125">
        <f t="shared" si="7"/>
        <v>3.4144374651729681</v>
      </c>
    </row>
    <row r="51" spans="1:79" ht="13.5" thickBot="1">
      <c r="A51" s="29" t="s">
        <v>34</v>
      </c>
      <c r="B51" s="29" t="s">
        <v>242</v>
      </c>
      <c r="C51" s="29" t="s">
        <v>242</v>
      </c>
      <c r="D51" s="37" t="s">
        <v>122</v>
      </c>
      <c r="E51" s="30" t="s">
        <v>122</v>
      </c>
      <c r="F51" s="30" t="s">
        <v>122</v>
      </c>
      <c r="G51" s="30" t="s">
        <v>122</v>
      </c>
      <c r="H51" s="30" t="s">
        <v>122</v>
      </c>
      <c r="I51" s="30" t="s">
        <v>122</v>
      </c>
      <c r="J51" s="50">
        <v>0</v>
      </c>
      <c r="K51" s="21">
        <v>0</v>
      </c>
      <c r="L51" s="21">
        <v>0</v>
      </c>
      <c r="M51" s="21">
        <v>0</v>
      </c>
      <c r="N51" s="21">
        <v>0</v>
      </c>
      <c r="O51" s="21">
        <v>0</v>
      </c>
      <c r="P51" s="21">
        <f t="shared" si="39"/>
        <v>0</v>
      </c>
      <c r="Q51" s="29"/>
      <c r="R51" s="34">
        <v>0</v>
      </c>
      <c r="S51" s="34">
        <v>0</v>
      </c>
      <c r="T51" s="35">
        <f t="shared" si="40"/>
        <v>1</v>
      </c>
      <c r="U51" s="21">
        <v>0</v>
      </c>
      <c r="V51" s="21">
        <v>0</v>
      </c>
      <c r="W51" s="21">
        <v>0</v>
      </c>
      <c r="X51" s="21">
        <v>0</v>
      </c>
      <c r="Y51" s="21">
        <v>0</v>
      </c>
      <c r="Z51" s="21">
        <v>0</v>
      </c>
      <c r="AA51" s="21">
        <f t="shared" si="41"/>
        <v>0</v>
      </c>
      <c r="AB51" s="29"/>
      <c r="AC51" s="34">
        <v>0</v>
      </c>
      <c r="AD51" s="34">
        <v>0</v>
      </c>
      <c r="AE51" s="35">
        <f t="shared" si="42"/>
        <v>1</v>
      </c>
      <c r="AF51" s="20"/>
      <c r="AG51" s="19"/>
      <c r="AH51" s="19"/>
      <c r="AI51" s="19"/>
      <c r="AJ51" s="19"/>
      <c r="AK51" s="19"/>
      <c r="AL51" s="21">
        <f t="shared" si="43"/>
        <v>0.64415199999999995</v>
      </c>
      <c r="AM51" s="72">
        <f>644152/1000000</f>
        <v>0.64415199999999995</v>
      </c>
      <c r="AN51" s="46" t="s">
        <v>122</v>
      </c>
      <c r="AO51" s="47" t="str">
        <f t="shared" si="44"/>
        <v>No</v>
      </c>
      <c r="AP51" s="38" t="str">
        <f t="shared" si="45"/>
        <v>Yes</v>
      </c>
      <c r="AQ51" s="57">
        <f t="shared" ref="AQ51:AV51" si="49">J51+$Q51*J$53/$P$53</f>
        <v>0</v>
      </c>
      <c r="AR51" s="58">
        <f t="shared" si="49"/>
        <v>0</v>
      </c>
      <c r="AS51" s="58">
        <f t="shared" si="49"/>
        <v>0</v>
      </c>
      <c r="AT51" s="58">
        <f t="shared" si="49"/>
        <v>0</v>
      </c>
      <c r="AU51" s="58">
        <f t="shared" si="49"/>
        <v>0</v>
      </c>
      <c r="AV51" s="58">
        <f t="shared" si="49"/>
        <v>0</v>
      </c>
      <c r="AW51" s="58">
        <f t="shared" si="21"/>
        <v>0</v>
      </c>
      <c r="AX51" s="59">
        <f t="shared" si="22"/>
        <v>0.6</v>
      </c>
      <c r="AY51" s="60">
        <f t="shared" si="23"/>
        <v>0.4</v>
      </c>
      <c r="AZ51" s="57">
        <f t="shared" ref="AZ51:BE51" si="50">U51+$AB51*U$53/$AA$53</f>
        <v>0</v>
      </c>
      <c r="BA51" s="58">
        <f t="shared" si="50"/>
        <v>0</v>
      </c>
      <c r="BB51" s="58">
        <f t="shared" si="50"/>
        <v>0</v>
      </c>
      <c r="BC51" s="58">
        <f t="shared" si="50"/>
        <v>0</v>
      </c>
      <c r="BD51" s="58">
        <f t="shared" si="50"/>
        <v>0</v>
      </c>
      <c r="BE51" s="58">
        <f t="shared" si="50"/>
        <v>0</v>
      </c>
      <c r="BF51" s="58">
        <f t="shared" si="30"/>
        <v>0</v>
      </c>
      <c r="BG51" s="59">
        <f t="shared" si="31"/>
        <v>0.6</v>
      </c>
      <c r="BH51" s="60">
        <f t="shared" si="32"/>
        <v>0.4</v>
      </c>
      <c r="BI51" s="103"/>
      <c r="BJ51" s="59"/>
      <c r="BK51" s="59"/>
      <c r="BL51" s="59"/>
      <c r="BM51" s="59"/>
      <c r="BN51" s="59"/>
      <c r="BO51" s="63">
        <f>Q51</f>
        <v>0</v>
      </c>
      <c r="BP51" s="63">
        <f>AB51</f>
        <v>0</v>
      </c>
      <c r="BQ51" s="29"/>
      <c r="BR51" s="61">
        <v>0</v>
      </c>
      <c r="BS51" s="29">
        <v>0</v>
      </c>
      <c r="BT51" s="29">
        <v>0</v>
      </c>
      <c r="BU51" s="72">
        <f t="shared" si="48"/>
        <v>0.64415199999999995</v>
      </c>
      <c r="BV51" s="126">
        <f t="shared" si="2"/>
        <v>0</v>
      </c>
      <c r="BW51" s="127">
        <f t="shared" si="3"/>
        <v>0</v>
      </c>
      <c r="BX51" s="127">
        <f t="shared" si="4"/>
        <v>0</v>
      </c>
      <c r="BY51" s="127">
        <f t="shared" si="5"/>
        <v>0</v>
      </c>
      <c r="BZ51" s="124" t="e">
        <f t="shared" si="6"/>
        <v>#DIV/0!</v>
      </c>
      <c r="CA51" s="128" t="e">
        <f t="shared" si="7"/>
        <v>#DIV/0!</v>
      </c>
    </row>
    <row r="52" spans="1:79" s="27" customFormat="1" ht="13.5" thickTop="1">
      <c r="A52" s="12" t="s">
        <v>136</v>
      </c>
      <c r="B52" s="68"/>
      <c r="C52" s="68"/>
      <c r="D52" s="133"/>
      <c r="E52" s="67"/>
      <c r="F52" s="67"/>
      <c r="G52" s="67"/>
      <c r="H52" s="67"/>
      <c r="I52" s="67"/>
      <c r="J52" s="91">
        <f t="shared" ref="J52:O52" si="51">SUM(J3:J51)</f>
        <v>1151.8258808280002</v>
      </c>
      <c r="K52" s="92">
        <f t="shared" si="51"/>
        <v>94.548399674742839</v>
      </c>
      <c r="L52" s="92">
        <f t="shared" si="51"/>
        <v>0</v>
      </c>
      <c r="M52" s="92">
        <f t="shared" si="51"/>
        <v>17.399999999999999</v>
      </c>
      <c r="N52" s="92">
        <f t="shared" si="51"/>
        <v>1463.0483311999999</v>
      </c>
      <c r="O52" s="92">
        <f t="shared" si="51"/>
        <v>234.3</v>
      </c>
      <c r="P52" s="92">
        <f>SUM(J52:O52,Q52)</f>
        <v>5809.8184139082441</v>
      </c>
      <c r="Q52" s="95">
        <f>SUM(Q3:Q51)</f>
        <v>2848.6958022055014</v>
      </c>
      <c r="R52" s="95">
        <f>SUMPRODUCT(R3:R51,$P$3:$P$51)</f>
        <v>1430.0338064891528</v>
      </c>
      <c r="S52" s="95">
        <f>SUMPRODUCT(S3:S51,$P$3:$P$51)</f>
        <v>3717.7792074190916</v>
      </c>
      <c r="T52" s="95">
        <f>SUMPRODUCT(T3:T51,$P$3:$P$51)</f>
        <v>662.00540000000001</v>
      </c>
      <c r="U52" s="91">
        <f t="shared" ref="U52:Z52" si="52">SUM(U3:U51)</f>
        <v>381.01788082800005</v>
      </c>
      <c r="V52" s="92">
        <f t="shared" si="52"/>
        <v>28.985297110640268</v>
      </c>
      <c r="W52" s="92">
        <f t="shared" si="52"/>
        <v>0</v>
      </c>
      <c r="X52" s="92">
        <f t="shared" si="52"/>
        <v>0</v>
      </c>
      <c r="Y52" s="92">
        <f t="shared" si="52"/>
        <v>270.39833119999986</v>
      </c>
      <c r="Z52" s="92">
        <f t="shared" si="52"/>
        <v>66.5</v>
      </c>
      <c r="AA52" s="92">
        <f t="shared" si="41"/>
        <v>1317.4598113441402</v>
      </c>
      <c r="AB52" s="92">
        <f>SUM(AB3:AB51)</f>
        <v>570.55830220550013</v>
      </c>
      <c r="AC52" s="95">
        <f>SUMPRODUCT(AC3:AC51,$AA$3:$AA$51)</f>
        <v>484.73718529898383</v>
      </c>
      <c r="AD52" s="95">
        <f>SUMPRODUCT(AD3:AD51,$AA$3:$AA$51)</f>
        <v>699.71722604515662</v>
      </c>
      <c r="AE52" s="95">
        <f>SUMPRODUCT(AE3:AE51,$AA$3:$AA$51)</f>
        <v>133.00540000000001</v>
      </c>
      <c r="AF52" s="18">
        <f t="shared" ref="AF52:AK52" si="53">SUM(AF3:AF49)</f>
        <v>5.75</v>
      </c>
      <c r="AG52" s="16">
        <f t="shared" si="53"/>
        <v>0.05</v>
      </c>
      <c r="AH52" s="16">
        <f t="shared" si="53"/>
        <v>0</v>
      </c>
      <c r="AI52" s="16">
        <f t="shared" si="53"/>
        <v>0</v>
      </c>
      <c r="AJ52" s="16">
        <f t="shared" si="53"/>
        <v>0</v>
      </c>
      <c r="AK52" s="16">
        <f t="shared" si="53"/>
        <v>0.6</v>
      </c>
      <c r="AL52" s="16">
        <f t="shared" si="43"/>
        <v>88.679799640394506</v>
      </c>
      <c r="AM52" s="15">
        <f>SUM(AM3:AM49)</f>
        <v>82.279799640394501</v>
      </c>
      <c r="AN52" s="135"/>
      <c r="AO52" s="133"/>
      <c r="AP52" s="67"/>
      <c r="AQ52" s="91">
        <f t="shared" ref="AQ52:AV52" si="54">SUM(AQ3:AQ51)</f>
        <v>2524.9103214131082</v>
      </c>
      <c r="AR52" s="92">
        <f t="shared" si="54"/>
        <v>242.58533379023547</v>
      </c>
      <c r="AS52" s="92">
        <f t="shared" si="54"/>
        <v>345.57519247784268</v>
      </c>
      <c r="AT52" s="92">
        <f t="shared" si="54"/>
        <v>48.609477930816411</v>
      </c>
      <c r="AU52" s="92">
        <f t="shared" si="54"/>
        <v>2396.9095658032375</v>
      </c>
      <c r="AV52" s="92">
        <f t="shared" si="54"/>
        <v>251.22852249300246</v>
      </c>
      <c r="AW52" s="154">
        <f>SUM(AW3:AW51)</f>
        <v>5809.8184139082414</v>
      </c>
      <c r="AX52" s="95">
        <f>SUMPRODUCT(AX3:AX51,$AW$3:$AW$51)</f>
        <v>1827.2370464891528</v>
      </c>
      <c r="AY52" s="95">
        <f>SUMPRODUCT(AY3:AY51,$AW$3:$AW$51)</f>
        <v>3982.5813674190917</v>
      </c>
      <c r="AZ52" s="91">
        <f t="shared" ref="AZ52:BE52" si="55">SUM(AZ3:AZ51)</f>
        <v>587.96288925805584</v>
      </c>
      <c r="BA52" s="92">
        <f t="shared" si="55"/>
        <v>53.579541490918793</v>
      </c>
      <c r="BB52" s="92">
        <f t="shared" si="55"/>
        <v>47.26944308798894</v>
      </c>
      <c r="BC52" s="92">
        <f t="shared" si="55"/>
        <v>5.2468043318393258</v>
      </c>
      <c r="BD52" s="92">
        <f t="shared" si="55"/>
        <v>548.76404958001797</v>
      </c>
      <c r="BE52" s="92">
        <f t="shared" si="55"/>
        <v>74.637083595319453</v>
      </c>
      <c r="BF52" s="154">
        <f>SUM(BF3:BF51)</f>
        <v>1317.4598113441407</v>
      </c>
      <c r="BG52" s="95">
        <f>SUMPRODUCT(BG3:BG51,$BF$3:$BF$51)</f>
        <v>564.54042529898391</v>
      </c>
      <c r="BH52" s="155">
        <f>SUMPRODUCT(BH3:BH51,$BF$3:$BF$51)</f>
        <v>752.91938604515667</v>
      </c>
      <c r="BI52" s="113">
        <f>[1]Sheet1!$H$59*1000</f>
        <v>118000</v>
      </c>
      <c r="BJ52" s="113">
        <f>[1]Sheet1!$H$55*1000</f>
        <v>10821.894446308628</v>
      </c>
      <c r="BK52" s="113">
        <f>[1]Sheet1!$H$60*1000</f>
        <v>24900</v>
      </c>
      <c r="BL52" s="113">
        <f>[1]Sheet1!$H$56*1000</f>
        <v>2205.1996888580034</v>
      </c>
      <c r="BM52" s="113">
        <f>[1]Sheet1!$H$61*1000</f>
        <v>122400</v>
      </c>
      <c r="BN52" s="113">
        <f>[1]Sheet1!$H$57*1000</f>
        <v>6639.4240314966655</v>
      </c>
      <c r="BO52" s="14" t="s">
        <v>85</v>
      </c>
      <c r="BP52" s="95"/>
      <c r="BQ52" s="95"/>
      <c r="BR52" s="140">
        <f t="shared" ref="BR52:BY52" si="56">SUM(BR3:BR51)</f>
        <v>39.928684382</v>
      </c>
      <c r="BS52" s="141">
        <f t="shared" si="56"/>
        <v>45.653902675085661</v>
      </c>
      <c r="BT52" s="141">
        <f t="shared" si="56"/>
        <v>40.574918213178663</v>
      </c>
      <c r="BU52" s="142">
        <f t="shared" si="56"/>
        <v>89.215579190394507</v>
      </c>
      <c r="BV52" s="129">
        <f t="shared" si="56"/>
        <v>26349.196226882807</v>
      </c>
      <c r="BW52" s="130">
        <f t="shared" si="56"/>
        <v>15111.160244743143</v>
      </c>
      <c r="BX52" s="130">
        <f t="shared" si="56"/>
        <v>2066766.1386673832</v>
      </c>
      <c r="BY52" s="130">
        <f t="shared" si="56"/>
        <v>1185282.2393856607</v>
      </c>
      <c r="BZ52" s="131">
        <f>AL52/BW52*1000</f>
        <v>5.8684970713115394</v>
      </c>
      <c r="CA52" s="132">
        <f t="shared" si="7"/>
        <v>74.817454184041267</v>
      </c>
    </row>
    <row r="53" spans="1:79">
      <c r="A53" s="22" t="s">
        <v>9</v>
      </c>
      <c r="B53" s="24"/>
      <c r="C53" s="24"/>
      <c r="D53" s="134"/>
      <c r="E53" s="23"/>
      <c r="F53" s="23"/>
      <c r="G53" s="23"/>
      <c r="H53" s="23"/>
      <c r="I53" s="23"/>
      <c r="J53" s="93">
        <f>[1]Sheet1!$AQ$7</f>
        <v>1073.1330816246043</v>
      </c>
      <c r="K53" s="94">
        <f>[1]Sheet1!$AQ$4</f>
        <v>971.81355106157241</v>
      </c>
      <c r="L53" s="94">
        <f>[1]Sheet1!$AQ$8</f>
        <v>163.79240858229949</v>
      </c>
      <c r="M53" s="94">
        <f>[1]Sheet1!$AQ$5</f>
        <v>228.77805698659114</v>
      </c>
      <c r="N53" s="94">
        <f>[1]Sheet1!$AQ$9</f>
        <v>1475.3166064668194</v>
      </c>
      <c r="O53" s="94">
        <f>[1]Sheet1!$AQ$6</f>
        <v>378.12968684593608</v>
      </c>
      <c r="P53" s="94">
        <f>SUM(J53:O53)</f>
        <v>4290.9633915678232</v>
      </c>
      <c r="Q53" s="25"/>
      <c r="R53" s="25"/>
      <c r="S53" s="25"/>
      <c r="T53" s="25"/>
      <c r="U53" s="93">
        <f>[1]Sheet1!$AQ$13</f>
        <v>268.28327040615818</v>
      </c>
      <c r="V53" s="94">
        <f>[1]Sheet1!$AQ10</f>
        <v>396.70350235444823</v>
      </c>
      <c r="W53" s="94">
        <f>[1]Sheet1!$AQ$14</f>
        <v>40.948102145573984</v>
      </c>
      <c r="X53" s="94">
        <f>[1]Sheet1!$AQ$11</f>
        <v>93.234040312560438</v>
      </c>
      <c r="Y53" s="94">
        <f>[1]Sheet1!$AQ$15</f>
        <v>368.82915161669416</v>
      </c>
      <c r="Z53" s="94">
        <f>[1]Sheet1!$AQ$12</f>
        <v>162.57915008820947</v>
      </c>
      <c r="AA53" s="94">
        <f>SUM(U53:Z53)</f>
        <v>1330.5772169236445</v>
      </c>
      <c r="AB53" s="96"/>
      <c r="AC53" s="96"/>
      <c r="AD53" s="96"/>
      <c r="AE53" s="25"/>
      <c r="AF53" s="26"/>
      <c r="AG53" s="24"/>
      <c r="AH53" s="24"/>
      <c r="AI53" s="24"/>
      <c r="AJ53" s="24"/>
      <c r="AK53" s="24"/>
      <c r="AL53" s="25"/>
      <c r="AM53" s="24"/>
      <c r="AN53" s="136"/>
      <c r="AO53" s="134"/>
      <c r="AP53" s="23"/>
      <c r="AQ53" s="98">
        <f t="shared" ref="AQ53:AV53" si="57">J53</f>
        <v>1073.1330816246043</v>
      </c>
      <c r="AR53" s="97">
        <f t="shared" si="57"/>
        <v>971.81355106157241</v>
      </c>
      <c r="AS53" s="97">
        <f t="shared" si="57"/>
        <v>163.79240858229949</v>
      </c>
      <c r="AT53" s="97">
        <f t="shared" si="57"/>
        <v>228.77805698659114</v>
      </c>
      <c r="AU53" s="97">
        <f t="shared" si="57"/>
        <v>1475.3166064668194</v>
      </c>
      <c r="AV53" s="97">
        <f t="shared" si="57"/>
        <v>378.12968684593608</v>
      </c>
      <c r="AW53" s="97">
        <f>SUM(AQ53:AV53)</f>
        <v>4290.9633915678232</v>
      </c>
      <c r="AX53" s="96"/>
      <c r="AY53" s="96"/>
      <c r="AZ53" s="93">
        <f t="shared" ref="AZ53:BE53" si="58">U53</f>
        <v>268.28327040615818</v>
      </c>
      <c r="BA53" s="94">
        <f t="shared" si="58"/>
        <v>396.70350235444823</v>
      </c>
      <c r="BB53" s="94">
        <f t="shared" si="58"/>
        <v>40.948102145573984</v>
      </c>
      <c r="BC53" s="94">
        <f t="shared" si="58"/>
        <v>93.234040312560438</v>
      </c>
      <c r="BD53" s="94">
        <f t="shared" si="58"/>
        <v>368.82915161669416</v>
      </c>
      <c r="BE53" s="94">
        <f t="shared" si="58"/>
        <v>162.57915008820947</v>
      </c>
      <c r="BF53" s="97">
        <f>SUM(AZ53:BE53)</f>
        <v>1330.5772169236445</v>
      </c>
      <c r="BG53" s="96"/>
      <c r="BH53" s="137"/>
      <c r="BI53" s="112">
        <f t="shared" ref="BI53:BN53" si="59">U53</f>
        <v>268.28327040615818</v>
      </c>
      <c r="BJ53" s="89">
        <f t="shared" si="59"/>
        <v>396.70350235444823</v>
      </c>
      <c r="BK53" s="89">
        <f t="shared" si="59"/>
        <v>40.948102145573984</v>
      </c>
      <c r="BL53" s="89">
        <f t="shared" si="59"/>
        <v>93.234040312560438</v>
      </c>
      <c r="BM53" s="89">
        <f t="shared" si="59"/>
        <v>368.82915161669416</v>
      </c>
      <c r="BN53" s="89">
        <f t="shared" si="59"/>
        <v>162.57915008820947</v>
      </c>
      <c r="BO53" s="62" t="s">
        <v>84</v>
      </c>
      <c r="BP53" s="97"/>
      <c r="BQ53" s="97"/>
      <c r="BR53" s="138"/>
      <c r="BS53" s="24"/>
      <c r="BT53" s="24"/>
      <c r="BU53" s="139"/>
      <c r="BV53" s="138"/>
      <c r="BW53" s="24"/>
      <c r="BX53" s="24"/>
      <c r="BY53" s="24"/>
      <c r="BZ53" s="24"/>
      <c r="CA53" s="139"/>
    </row>
    <row r="54" spans="1:79">
      <c r="A54" s="28"/>
      <c r="B54" s="28"/>
      <c r="C54" s="28"/>
      <c r="D54" s="69"/>
      <c r="E54" s="69"/>
      <c r="F54" s="69"/>
      <c r="G54" s="69"/>
      <c r="H54" s="69"/>
      <c r="I54" s="69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69"/>
      <c r="AO54" s="69"/>
      <c r="AP54" s="69"/>
      <c r="BP54" s="14"/>
      <c r="BQ54" s="14"/>
    </row>
    <row r="55" spans="1:79">
      <c r="A55" s="28"/>
      <c r="B55" s="28"/>
      <c r="C55" s="28"/>
      <c r="D55" s="69"/>
      <c r="E55" s="69"/>
      <c r="F55" s="69"/>
      <c r="G55" s="69"/>
      <c r="H55" s="69"/>
      <c r="I55" s="69"/>
      <c r="J55" s="28"/>
      <c r="K55" s="28"/>
      <c r="L55" s="28"/>
      <c r="M55" s="28"/>
      <c r="N55" s="28"/>
      <c r="O55" s="28"/>
      <c r="P55" s="99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69"/>
      <c r="AO55" s="69"/>
      <c r="AP55" s="69"/>
      <c r="AQ55" s="14"/>
      <c r="AR55" s="14"/>
      <c r="AS55" s="14"/>
      <c r="AT55" s="14"/>
      <c r="AU55" s="14"/>
      <c r="AV55" s="14"/>
    </row>
    <row r="56" spans="1:79">
      <c r="A56" s="28" t="s">
        <v>58</v>
      </c>
      <c r="B56" s="28"/>
      <c r="C56" s="28"/>
      <c r="D56" s="69"/>
      <c r="E56" s="69"/>
      <c r="F56" s="69"/>
      <c r="G56" s="69"/>
      <c r="H56" s="69"/>
      <c r="I56" s="69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69"/>
      <c r="AO56" s="69"/>
      <c r="AP56" s="69"/>
      <c r="AQ56" s="14"/>
      <c r="AR56" s="14"/>
      <c r="AS56" s="14"/>
      <c r="AT56" s="14"/>
      <c r="AU56" s="14"/>
      <c r="AV56" s="14"/>
    </row>
    <row r="57" spans="1:79">
      <c r="A57" s="28" t="s">
        <v>59</v>
      </c>
      <c r="B57" s="28"/>
      <c r="C57" s="28"/>
      <c r="D57" s="69"/>
      <c r="E57" s="69"/>
      <c r="F57" s="69"/>
      <c r="G57" s="69"/>
      <c r="H57" s="69"/>
      <c r="I57" s="69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69"/>
      <c r="AO57" s="69"/>
      <c r="AP57" s="69"/>
    </row>
    <row r="58" spans="1:79">
      <c r="B58" s="28"/>
      <c r="C58" s="28"/>
      <c r="D58" s="69"/>
      <c r="E58" s="69"/>
      <c r="F58" s="69"/>
      <c r="G58" s="69"/>
      <c r="H58" s="69"/>
      <c r="I58" s="69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69"/>
      <c r="AO58" s="69"/>
      <c r="AP58" s="69"/>
    </row>
    <row r="59" spans="1:79">
      <c r="A59" s="107"/>
      <c r="B59" s="28"/>
      <c r="C59" s="28"/>
      <c r="D59" s="69"/>
      <c r="E59" s="69"/>
      <c r="F59" s="69"/>
      <c r="G59" s="69"/>
      <c r="H59" s="69"/>
      <c r="I59" s="69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69"/>
      <c r="AO59" s="69"/>
      <c r="AP59" s="69"/>
    </row>
    <row r="60" spans="1:79">
      <c r="A60" s="108"/>
      <c r="B60" s="28"/>
      <c r="C60" s="28"/>
      <c r="D60" s="69"/>
      <c r="E60" s="69"/>
      <c r="F60" s="69"/>
      <c r="G60" s="69"/>
      <c r="H60" s="69"/>
      <c r="I60" s="69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69"/>
      <c r="AO60" s="28"/>
      <c r="AP60" s="28"/>
    </row>
    <row r="61" spans="1:79">
      <c r="A61" s="109"/>
      <c r="B61" s="28"/>
      <c r="C61" s="28"/>
      <c r="D61" s="69"/>
      <c r="E61" s="69"/>
      <c r="F61" s="69"/>
      <c r="G61" s="69"/>
      <c r="H61" s="69"/>
      <c r="I61" s="69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69"/>
      <c r="AO61" s="28"/>
      <c r="AP61" s="28"/>
    </row>
    <row r="62" spans="1:79">
      <c r="A62" s="108"/>
      <c r="B62" s="28"/>
      <c r="C62" s="28"/>
      <c r="D62" s="69"/>
      <c r="E62" s="69"/>
      <c r="F62" s="69"/>
      <c r="G62" s="69"/>
      <c r="H62" s="69"/>
      <c r="I62" s="69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69"/>
      <c r="AO62" s="28"/>
      <c r="AP62" s="28"/>
    </row>
    <row r="63" spans="1:79">
      <c r="A63" s="108"/>
      <c r="B63" s="28"/>
      <c r="C63" s="28"/>
      <c r="D63" s="69"/>
      <c r="E63" s="69"/>
      <c r="F63" s="69"/>
      <c r="G63" s="69"/>
      <c r="H63" s="69"/>
      <c r="I63" s="69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69"/>
      <c r="AO63" s="28"/>
      <c r="AP63" s="28"/>
    </row>
    <row r="64" spans="1:79">
      <c r="A64" s="108"/>
      <c r="B64" s="28"/>
      <c r="C64" s="28"/>
      <c r="D64" s="69"/>
      <c r="E64" s="69"/>
      <c r="F64" s="69"/>
      <c r="G64" s="69"/>
      <c r="H64" s="69"/>
      <c r="I64" s="69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69"/>
      <c r="AO64" s="28"/>
      <c r="AP64" s="28"/>
    </row>
    <row r="65" spans="1:42">
      <c r="A65" s="108"/>
      <c r="B65" s="28"/>
      <c r="C65" s="28"/>
      <c r="D65" s="69"/>
      <c r="E65" s="69"/>
      <c r="F65" s="69"/>
      <c r="G65" s="69"/>
      <c r="H65" s="69"/>
      <c r="I65" s="69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69"/>
      <c r="AO65" s="28"/>
      <c r="AP65" s="28"/>
    </row>
    <row r="66" spans="1:42">
      <c r="A66" s="108"/>
      <c r="B66" s="28"/>
      <c r="C66" s="28"/>
      <c r="D66" s="69"/>
      <c r="E66" s="69"/>
      <c r="F66" s="69"/>
      <c r="G66" s="69"/>
      <c r="H66" s="69"/>
      <c r="I66" s="69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69"/>
      <c r="AO66" s="28"/>
      <c r="AP66" s="28"/>
    </row>
    <row r="67" spans="1:42">
      <c r="A67" s="108"/>
      <c r="B67" s="28"/>
      <c r="C67" s="28"/>
      <c r="D67" s="69"/>
      <c r="E67" s="69"/>
      <c r="F67" s="69"/>
      <c r="G67" s="69"/>
      <c r="H67" s="69"/>
      <c r="I67" s="69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69"/>
      <c r="AO67" s="28"/>
      <c r="AP67" s="28"/>
    </row>
    <row r="68" spans="1:42">
      <c r="A68" s="110"/>
      <c r="B68" s="110"/>
      <c r="C68" s="110"/>
      <c r="D68" s="110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69"/>
      <c r="AO68" s="28"/>
      <c r="AP68" s="28"/>
    </row>
    <row r="69" spans="1:42">
      <c r="A69" s="28"/>
      <c r="B69" s="28"/>
      <c r="C69" s="28"/>
      <c r="D69" s="28"/>
      <c r="E69" s="28"/>
      <c r="F69" s="28"/>
      <c r="G69" s="111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69"/>
      <c r="AO69" s="28"/>
      <c r="AP69" s="28"/>
    </row>
    <row r="70" spans="1:42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69"/>
      <c r="AO70" s="28"/>
      <c r="AP70" s="28"/>
    </row>
    <row r="71" spans="1:42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69"/>
      <c r="AO71" s="28"/>
      <c r="AP71" s="28"/>
    </row>
    <row r="72" spans="1:42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69"/>
      <c r="AO72" s="28"/>
      <c r="AP72" s="28"/>
    </row>
    <row r="73" spans="1:42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69"/>
      <c r="AO73" s="28"/>
      <c r="AP73" s="28"/>
    </row>
    <row r="74" spans="1:42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69"/>
      <c r="AO74" s="28"/>
      <c r="AP74" s="28"/>
    </row>
    <row r="75" spans="1:42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69"/>
      <c r="AO75" s="28"/>
      <c r="AP75" s="28"/>
    </row>
    <row r="76" spans="1:42">
      <c r="A76" s="108"/>
      <c r="B76" s="28"/>
      <c r="C76" s="28"/>
      <c r="D76" s="69"/>
      <c r="E76" s="69"/>
      <c r="F76" s="69"/>
      <c r="G76" s="69"/>
      <c r="H76" s="69"/>
      <c r="I76" s="69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69"/>
      <c r="AO76" s="28"/>
      <c r="AP76" s="28"/>
    </row>
    <row r="77" spans="1:42">
      <c r="A77" s="108"/>
      <c r="B77" s="28"/>
      <c r="C77" s="28"/>
      <c r="D77" s="69"/>
      <c r="E77" s="69"/>
      <c r="F77" s="69"/>
      <c r="G77" s="69"/>
      <c r="H77" s="69"/>
      <c r="I77" s="69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69"/>
      <c r="AO77" s="28"/>
      <c r="AP77" s="28"/>
    </row>
    <row r="78" spans="1:42">
      <c r="A78" s="108"/>
      <c r="B78" s="28"/>
      <c r="C78" s="28"/>
      <c r="D78" s="69"/>
      <c r="E78" s="69"/>
      <c r="F78" s="69"/>
      <c r="G78" s="69"/>
      <c r="H78" s="69"/>
      <c r="I78" s="69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69"/>
      <c r="AO78" s="28"/>
      <c r="AP78" s="28"/>
    </row>
    <row r="79" spans="1:42">
      <c r="A79" s="108"/>
      <c r="B79" s="28"/>
      <c r="C79" s="28"/>
      <c r="D79" s="69"/>
      <c r="E79" s="69"/>
      <c r="F79" s="69"/>
      <c r="G79" s="69"/>
      <c r="H79" s="69"/>
      <c r="I79" s="69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69"/>
      <c r="AO79" s="28"/>
      <c r="AP79" s="28"/>
    </row>
    <row r="80" spans="1:42">
      <c r="A80" s="28"/>
      <c r="B80" s="28"/>
      <c r="C80" s="28"/>
      <c r="D80" s="69"/>
      <c r="E80" s="69"/>
      <c r="F80" s="69"/>
      <c r="G80" s="69"/>
      <c r="H80" s="69"/>
      <c r="I80" s="69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69"/>
      <c r="AO80" s="28"/>
      <c r="AP80" s="28"/>
    </row>
    <row r="81" spans="1:42">
      <c r="A81" s="28"/>
      <c r="B81" s="28"/>
      <c r="C81" s="28"/>
      <c r="D81" s="69"/>
      <c r="E81" s="69"/>
      <c r="F81" s="69"/>
      <c r="G81" s="69"/>
      <c r="H81" s="69"/>
      <c r="I81" s="69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69"/>
      <c r="AO81" s="28"/>
      <c r="AP81" s="28"/>
    </row>
    <row r="82" spans="1:42">
      <c r="A82" s="28"/>
      <c r="B82" s="28"/>
      <c r="C82" s="28"/>
      <c r="D82" s="69"/>
      <c r="E82" s="69"/>
      <c r="F82" s="69"/>
      <c r="G82" s="69"/>
      <c r="H82" s="69"/>
      <c r="I82" s="69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69"/>
      <c r="AO82" s="28"/>
      <c r="AP82" s="28"/>
    </row>
    <row r="83" spans="1:42">
      <c r="A83" s="28"/>
      <c r="B83" s="28"/>
      <c r="C83" s="28"/>
      <c r="D83" s="69"/>
      <c r="E83" s="69"/>
      <c r="F83" s="69"/>
      <c r="G83" s="69"/>
      <c r="H83" s="69"/>
      <c r="I83" s="69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69"/>
      <c r="AO83" s="28"/>
      <c r="AP83" s="28"/>
    </row>
    <row r="84" spans="1:42">
      <c r="A84" s="28"/>
      <c r="B84" s="28"/>
      <c r="C84" s="28"/>
      <c r="D84" s="69"/>
      <c r="E84" s="69"/>
      <c r="F84" s="69"/>
      <c r="G84" s="69"/>
      <c r="H84" s="69"/>
      <c r="I84" s="69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69"/>
      <c r="AO84" s="28"/>
      <c r="AP84" s="28"/>
    </row>
    <row r="85" spans="1:42">
      <c r="A85" s="28"/>
      <c r="B85" s="28"/>
      <c r="C85" s="28"/>
      <c r="D85" s="69"/>
      <c r="E85" s="69"/>
      <c r="F85" s="69"/>
      <c r="G85" s="69"/>
      <c r="H85" s="69"/>
      <c r="I85" s="69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69"/>
      <c r="AO85" s="28"/>
      <c r="AP85" s="28"/>
    </row>
    <row r="86" spans="1:42">
      <c r="A86" s="28"/>
      <c r="B86" s="28"/>
      <c r="C86" s="28"/>
      <c r="D86" s="69"/>
      <c r="E86" s="69"/>
      <c r="F86" s="69"/>
      <c r="G86" s="69"/>
      <c r="H86" s="69"/>
      <c r="I86" s="69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69"/>
      <c r="AO86" s="28"/>
      <c r="AP86" s="28"/>
    </row>
    <row r="87" spans="1:42">
      <c r="A87" s="28"/>
      <c r="B87" s="28"/>
      <c r="C87" s="28"/>
      <c r="D87" s="69"/>
      <c r="E87" s="69"/>
      <c r="F87" s="69"/>
      <c r="G87" s="69"/>
      <c r="H87" s="69"/>
      <c r="I87" s="69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69"/>
      <c r="AO87" s="28"/>
      <c r="AP87" s="28"/>
    </row>
    <row r="88" spans="1:42">
      <c r="A88" s="28"/>
      <c r="B88" s="28"/>
      <c r="C88" s="28"/>
      <c r="D88" s="69"/>
      <c r="E88" s="69"/>
      <c r="F88" s="69"/>
      <c r="G88" s="69"/>
      <c r="H88" s="69"/>
      <c r="I88" s="69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69"/>
      <c r="AO88" s="28"/>
      <c r="AP88" s="28"/>
    </row>
    <row r="89" spans="1:42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69"/>
      <c r="AO89" s="28"/>
      <c r="AP89" s="28"/>
    </row>
    <row r="90" spans="1:42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69"/>
      <c r="AO90" s="28"/>
      <c r="AP90" s="28"/>
    </row>
    <row r="91" spans="1:42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69"/>
      <c r="AO91" s="28"/>
      <c r="AP91" s="28"/>
    </row>
    <row r="92" spans="1:42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69"/>
      <c r="AO92" s="28"/>
      <c r="AP92" s="28"/>
    </row>
    <row r="93" spans="1:42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69"/>
      <c r="AO93" s="28"/>
      <c r="AP93" s="28"/>
    </row>
    <row r="94" spans="1:42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69"/>
      <c r="AO94" s="28"/>
      <c r="AP94" s="28"/>
    </row>
    <row r="95" spans="1:42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69"/>
      <c r="AO95" s="28"/>
      <c r="AP95" s="28"/>
    </row>
    <row r="96" spans="1:42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69"/>
      <c r="AO96" s="28"/>
      <c r="AP96" s="28"/>
    </row>
    <row r="97" spans="1:42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69"/>
      <c r="AO97" s="28"/>
      <c r="AP97" s="28"/>
    </row>
    <row r="98" spans="1:42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69"/>
      <c r="AO98" s="28"/>
      <c r="AP98" s="28"/>
    </row>
    <row r="99" spans="1:42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69"/>
      <c r="AO99" s="28"/>
      <c r="AP99" s="28"/>
    </row>
    <row r="100" spans="1:42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69"/>
      <c r="AO100" s="28"/>
      <c r="AP100" s="28"/>
    </row>
    <row r="101" spans="1:42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69"/>
      <c r="AO101" s="28"/>
      <c r="AP101" s="28"/>
    </row>
    <row r="102" spans="1:42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69"/>
      <c r="AO102" s="28"/>
      <c r="AP102" s="28"/>
    </row>
    <row r="103" spans="1:42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69"/>
      <c r="AO103" s="28"/>
      <c r="AP103" s="28"/>
    </row>
    <row r="104" spans="1:42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69"/>
      <c r="AO104" s="28"/>
      <c r="AP104" s="28"/>
    </row>
    <row r="105" spans="1:42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69"/>
      <c r="AO105" s="28"/>
      <c r="AP105" s="28"/>
    </row>
    <row r="106" spans="1:42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69"/>
      <c r="AO106" s="28"/>
      <c r="AP106" s="28"/>
    </row>
    <row r="107" spans="1:42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69"/>
      <c r="AO107" s="28"/>
      <c r="AP107" s="28"/>
    </row>
    <row r="108" spans="1:42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69"/>
      <c r="AO108" s="28"/>
      <c r="AP108" s="28"/>
    </row>
    <row r="109" spans="1:42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69"/>
      <c r="AO109" s="28"/>
      <c r="AP109" s="28"/>
    </row>
    <row r="110" spans="1:42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69"/>
      <c r="AO110" s="28"/>
      <c r="AP110" s="28"/>
    </row>
    <row r="111" spans="1:42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69"/>
      <c r="AO111" s="28"/>
      <c r="AP111" s="28"/>
    </row>
    <row r="112" spans="1:42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69"/>
      <c r="AO112" s="28"/>
      <c r="AP112" s="28"/>
    </row>
    <row r="113" spans="1:42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69"/>
      <c r="AO113" s="28"/>
      <c r="AP113" s="28"/>
    </row>
    <row r="114" spans="1:42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69"/>
      <c r="AO114" s="28"/>
      <c r="AP114" s="28"/>
    </row>
    <row r="115" spans="1:42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69"/>
      <c r="AO115" s="28"/>
      <c r="AP115" s="28"/>
    </row>
    <row r="116" spans="1:42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69"/>
      <c r="AO116" s="28"/>
      <c r="AP116" s="28"/>
    </row>
    <row r="117" spans="1:42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69"/>
      <c r="AO117" s="28"/>
      <c r="AP117" s="28"/>
    </row>
    <row r="118" spans="1:42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69"/>
      <c r="AO118" s="28"/>
      <c r="AP118" s="28"/>
    </row>
    <row r="119" spans="1:4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69"/>
      <c r="AO119" s="28"/>
      <c r="AP119" s="28"/>
    </row>
    <row r="120" spans="1:42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O120" s="28"/>
      <c r="AP120" s="28"/>
    </row>
    <row r="121" spans="1:42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O121" s="28"/>
      <c r="AP121" s="28"/>
    </row>
    <row r="122" spans="1:42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O122" s="28"/>
      <c r="AP122" s="28"/>
    </row>
    <row r="123" spans="1:42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O123" s="28"/>
      <c r="AP123" s="28"/>
    </row>
    <row r="124" spans="1:42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O124" s="28"/>
      <c r="AP124" s="28"/>
    </row>
    <row r="125" spans="1:42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O125" s="28"/>
      <c r="AP125" s="28"/>
    </row>
    <row r="126" spans="1:42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O126" s="28"/>
      <c r="AP126" s="28"/>
    </row>
    <row r="127" spans="1:42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O127" s="28"/>
      <c r="AP127" s="28"/>
    </row>
    <row r="128" spans="1:42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O128" s="28"/>
      <c r="AP128" s="28"/>
    </row>
    <row r="129" spans="1:4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O129" s="28"/>
      <c r="AP129" s="28"/>
    </row>
    <row r="130" spans="1:42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O130" s="28"/>
      <c r="AP130" s="28"/>
    </row>
    <row r="131" spans="1:42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O131" s="28"/>
      <c r="AP131" s="28"/>
    </row>
    <row r="132" spans="1:42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O132" s="28"/>
      <c r="AP132" s="28"/>
    </row>
    <row r="133" spans="1:42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O133" s="28"/>
      <c r="AP133" s="28"/>
    </row>
    <row r="134" spans="1:42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O134" s="28"/>
      <c r="AP134" s="28"/>
    </row>
    <row r="135" spans="1:42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O135" s="28"/>
      <c r="AP135" s="28"/>
    </row>
    <row r="136" spans="1:42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O136" s="28"/>
      <c r="AP136" s="28"/>
    </row>
    <row r="137" spans="1:42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O137" s="28"/>
      <c r="AP137" s="28"/>
    </row>
    <row r="138" spans="1:42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O138" s="28"/>
      <c r="AP138" s="28"/>
    </row>
    <row r="139" spans="1:42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O139" s="28"/>
      <c r="AP139" s="28"/>
    </row>
    <row r="140" spans="1:42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O140" s="28"/>
      <c r="AP140" s="28"/>
    </row>
    <row r="141" spans="1:42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O141" s="28"/>
      <c r="AP141" s="28"/>
    </row>
    <row r="142" spans="1:42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O142" s="28"/>
      <c r="AP142" s="28"/>
    </row>
    <row r="143" spans="1:42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O143" s="28"/>
      <c r="AP143" s="28"/>
    </row>
    <row r="144" spans="1:42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O144" s="28"/>
      <c r="AP144" s="28"/>
    </row>
    <row r="145" spans="1:42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O145" s="28"/>
      <c r="AP145" s="28"/>
    </row>
    <row r="146" spans="1:4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O146" s="28"/>
      <c r="AP146" s="28"/>
    </row>
    <row r="147" spans="1:4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O147" s="28"/>
      <c r="AP147" s="28"/>
    </row>
    <row r="148" spans="1:4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O148" s="28"/>
      <c r="AP148" s="28"/>
    </row>
    <row r="149" spans="1:4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O149" s="28"/>
      <c r="AP149" s="28"/>
    </row>
    <row r="150" spans="1:4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O150" s="28"/>
      <c r="AP150" s="28"/>
    </row>
    <row r="151" spans="1:4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O151" s="28"/>
      <c r="AP151" s="28"/>
    </row>
    <row r="152" spans="1:4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O152" s="28"/>
      <c r="AP152" s="28"/>
    </row>
    <row r="153" spans="1:4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O153" s="28"/>
      <c r="AP153" s="28"/>
    </row>
    <row r="154" spans="1:4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O154" s="28"/>
      <c r="AP154" s="28"/>
    </row>
    <row r="155" spans="1:4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O155" s="28"/>
      <c r="AP155" s="28"/>
    </row>
    <row r="156" spans="1:4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O156" s="28"/>
      <c r="AP156" s="28"/>
    </row>
    <row r="157" spans="1:4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O157" s="28"/>
      <c r="AP157" s="28"/>
    </row>
    <row r="158" spans="1:4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O158" s="28"/>
      <c r="AP158" s="28"/>
    </row>
    <row r="159" spans="1:4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O159" s="28"/>
      <c r="AP159" s="28"/>
    </row>
    <row r="160" spans="1:4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O160" s="28"/>
      <c r="AP160" s="28"/>
    </row>
    <row r="161" spans="1:4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O161" s="28"/>
      <c r="AP161" s="28"/>
    </row>
    <row r="162" spans="1:4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O162" s="28"/>
      <c r="AP162" s="28"/>
    </row>
    <row r="163" spans="1:4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O163" s="28"/>
      <c r="AP163" s="28"/>
    </row>
    <row r="164" spans="1:4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O164" s="28"/>
      <c r="AP164" s="28"/>
    </row>
    <row r="165" spans="1:4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O165" s="28"/>
      <c r="AP165" s="28"/>
    </row>
    <row r="166" spans="1:4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O166" s="28"/>
      <c r="AP166" s="28"/>
    </row>
    <row r="167" spans="1:4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O167" s="28"/>
      <c r="AP167" s="28"/>
    </row>
    <row r="168" spans="1:4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O168" s="28"/>
      <c r="AP168" s="28"/>
    </row>
    <row r="169" spans="1:4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O169" s="28"/>
      <c r="AP169" s="28"/>
    </row>
    <row r="170" spans="1:4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O170" s="28"/>
      <c r="AP170" s="28"/>
    </row>
    <row r="171" spans="1:4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O171" s="28"/>
      <c r="AP171" s="28"/>
    </row>
    <row r="172" spans="1:4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O172" s="28"/>
      <c r="AP172" s="28"/>
    </row>
    <row r="173" spans="1:4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O173" s="28"/>
      <c r="AP173" s="28"/>
    </row>
    <row r="174" spans="1:4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O174" s="28"/>
      <c r="AP174" s="28"/>
    </row>
    <row r="175" spans="1:4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O175" s="28"/>
      <c r="AP175" s="28"/>
    </row>
    <row r="176" spans="1:4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O176" s="28"/>
      <c r="AP176" s="28"/>
    </row>
    <row r="177" spans="1:4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O177" s="28"/>
      <c r="AP177" s="28"/>
    </row>
    <row r="178" spans="1:4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O178" s="28"/>
      <c r="AP178" s="28"/>
    </row>
    <row r="179" spans="1:4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O179" s="28"/>
      <c r="AP179" s="28"/>
    </row>
    <row r="180" spans="1:4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O180" s="28"/>
      <c r="AP180" s="28"/>
    </row>
    <row r="181" spans="1:4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O181" s="28"/>
      <c r="AP181" s="28"/>
    </row>
    <row r="182" spans="1:4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O182" s="28"/>
      <c r="AP182" s="28"/>
    </row>
    <row r="183" spans="1:4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O183" s="28"/>
      <c r="AP183" s="28"/>
    </row>
    <row r="184" spans="1:4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O184" s="28"/>
      <c r="AP184" s="28"/>
    </row>
    <row r="185" spans="1:4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O185" s="28"/>
      <c r="AP185" s="28"/>
    </row>
    <row r="186" spans="1:4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O186" s="28"/>
      <c r="AP186" s="28"/>
    </row>
    <row r="187" spans="1:4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O187" s="28"/>
      <c r="AP187" s="28"/>
    </row>
    <row r="188" spans="1:4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O188" s="28"/>
      <c r="AP188" s="28"/>
    </row>
    <row r="189" spans="1:4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O189" s="28"/>
      <c r="AP189" s="28"/>
    </row>
    <row r="190" spans="1:4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O190" s="28"/>
      <c r="AP190" s="28"/>
    </row>
    <row r="191" spans="1:4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O191" s="28"/>
      <c r="AP191" s="28"/>
    </row>
    <row r="192" spans="1:4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O192" s="28"/>
      <c r="AP192" s="28"/>
    </row>
    <row r="193" spans="1:4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O193" s="28"/>
      <c r="AP193" s="28"/>
    </row>
    <row r="194" spans="1:4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O194" s="28"/>
      <c r="AP194" s="28"/>
    </row>
    <row r="195" spans="1:4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O195" s="28"/>
      <c r="AP195" s="28"/>
    </row>
    <row r="196" spans="1:4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O196" s="28"/>
      <c r="AP196" s="28"/>
    </row>
    <row r="197" spans="1:4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O197" s="28"/>
      <c r="AP197" s="28"/>
    </row>
    <row r="198" spans="1:4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O198" s="28"/>
      <c r="AP198" s="28"/>
    </row>
    <row r="199" spans="1:4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O199" s="28"/>
      <c r="AP199" s="28"/>
    </row>
    <row r="200" spans="1:4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O200" s="28"/>
      <c r="AP200" s="28"/>
    </row>
    <row r="201" spans="1:4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O201" s="28"/>
      <c r="AP201" s="28"/>
    </row>
    <row r="202" spans="1:4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O202" s="28"/>
      <c r="AP202" s="28"/>
    </row>
    <row r="203" spans="1:4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O203" s="28"/>
      <c r="AP203" s="28"/>
    </row>
    <row r="204" spans="1:4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O204" s="28"/>
      <c r="AP204" s="28"/>
    </row>
    <row r="205" spans="1:4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O205" s="28"/>
      <c r="AP205" s="28"/>
    </row>
    <row r="206" spans="1:4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O206" s="28"/>
      <c r="AP206" s="28"/>
    </row>
    <row r="207" spans="1:4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O207" s="28"/>
      <c r="AP207" s="28"/>
    </row>
    <row r="208" spans="1:4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O208" s="28"/>
      <c r="AP208" s="28"/>
    </row>
    <row r="209" spans="1:4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O209" s="28"/>
      <c r="AP209" s="28"/>
    </row>
    <row r="210" spans="1:4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O210" s="28"/>
      <c r="AP210" s="28"/>
    </row>
    <row r="211" spans="1:4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O211" s="28"/>
      <c r="AP211" s="28"/>
    </row>
    <row r="212" spans="1:4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O212" s="28"/>
      <c r="AP212" s="28"/>
    </row>
    <row r="213" spans="1:4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O213" s="28"/>
      <c r="AP213" s="28"/>
    </row>
    <row r="214" spans="1:4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O214" s="28"/>
      <c r="AP214" s="28"/>
    </row>
    <row r="215" spans="1:4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O215" s="28"/>
      <c r="AP215" s="28"/>
    </row>
    <row r="216" spans="1:4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O216" s="28"/>
      <c r="AP216" s="28"/>
    </row>
    <row r="217" spans="1:4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O217" s="28"/>
      <c r="AP217" s="28"/>
    </row>
    <row r="218" spans="1:4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O218" s="28"/>
      <c r="AP218" s="28"/>
    </row>
    <row r="219" spans="1:4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O219" s="28"/>
      <c r="AP219" s="28"/>
    </row>
    <row r="220" spans="1:4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O220" s="28"/>
      <c r="AP220" s="28"/>
    </row>
    <row r="221" spans="1:4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O221" s="28"/>
      <c r="AP221" s="28"/>
    </row>
    <row r="222" spans="1:4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O222" s="28"/>
      <c r="AP222" s="28"/>
    </row>
    <row r="223" spans="1:4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O223" s="28"/>
      <c r="AP223" s="28"/>
    </row>
    <row r="224" spans="1:4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O224" s="28"/>
      <c r="AP224" s="28"/>
    </row>
    <row r="225" spans="1:4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O225" s="28"/>
      <c r="AP225" s="28"/>
    </row>
    <row r="226" spans="1:4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O226" s="28"/>
      <c r="AP226" s="28"/>
    </row>
    <row r="227" spans="1:4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O227" s="28"/>
      <c r="AP227" s="28"/>
    </row>
    <row r="228" spans="1:4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O228" s="28"/>
      <c r="AP228" s="28"/>
    </row>
    <row r="229" spans="1:4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O229" s="28"/>
      <c r="AP229" s="28"/>
    </row>
    <row r="230" spans="1:4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O230" s="28"/>
      <c r="AP230" s="28"/>
    </row>
    <row r="231" spans="1:4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O231" s="28"/>
      <c r="AP231" s="28"/>
    </row>
    <row r="232" spans="1:4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O232" s="28"/>
      <c r="AP232" s="28"/>
    </row>
    <row r="233" spans="1:4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O233" s="28"/>
      <c r="AP233" s="28"/>
    </row>
    <row r="234" spans="1:4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O234" s="28"/>
      <c r="AP234" s="28"/>
    </row>
    <row r="235" spans="1:4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O235" s="28"/>
      <c r="AP235" s="28"/>
    </row>
    <row r="236" spans="1:4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O236" s="28"/>
      <c r="AP236" s="28"/>
    </row>
    <row r="237" spans="1:4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O237" s="28"/>
      <c r="AP237" s="28"/>
    </row>
    <row r="238" spans="1:4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O238" s="28"/>
      <c r="AP238" s="28"/>
    </row>
    <row r="239" spans="1:4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O239" s="28"/>
      <c r="AP239" s="28"/>
    </row>
    <row r="240" spans="1:4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O240" s="28"/>
      <c r="AP240" s="28"/>
    </row>
    <row r="241" spans="1:4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O241" s="28"/>
      <c r="AP241" s="28"/>
    </row>
    <row r="242" spans="1:4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O242" s="28"/>
      <c r="AP242" s="28"/>
    </row>
    <row r="243" spans="1:4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O243" s="28"/>
      <c r="AP243" s="28"/>
    </row>
    <row r="244" spans="1:4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O244" s="28"/>
      <c r="AP244" s="28"/>
    </row>
    <row r="245" spans="1:4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O245" s="28"/>
      <c r="AP245" s="28"/>
    </row>
    <row r="246" spans="1:4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O246" s="28"/>
      <c r="AP246" s="28"/>
    </row>
    <row r="247" spans="1:4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O247" s="28"/>
      <c r="AP247" s="28"/>
    </row>
    <row r="248" spans="1:4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O248" s="28"/>
      <c r="AP248" s="28"/>
    </row>
    <row r="249" spans="1:4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O249" s="28"/>
      <c r="AP249" s="28"/>
    </row>
    <row r="250" spans="1:4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O250" s="28"/>
      <c r="AP250" s="28"/>
    </row>
    <row r="251" spans="1:4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O251" s="28"/>
      <c r="AP251" s="28"/>
    </row>
    <row r="252" spans="1:4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O252" s="28"/>
      <c r="AP252" s="28"/>
    </row>
    <row r="253" spans="1:4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O253" s="28"/>
      <c r="AP253" s="28"/>
    </row>
    <row r="254" spans="1:4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O254" s="28"/>
      <c r="AP254" s="28"/>
    </row>
    <row r="255" spans="1:4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O255" s="28"/>
      <c r="AP255" s="28"/>
    </row>
    <row r="256" spans="1:4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O256" s="28"/>
      <c r="AP256" s="28"/>
    </row>
    <row r="257" spans="1:4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O257" s="28"/>
      <c r="AP257" s="28"/>
    </row>
    <row r="258" spans="1:4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O258" s="28"/>
      <c r="AP258" s="28"/>
    </row>
    <row r="259" spans="1:4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O259" s="28"/>
      <c r="AP259" s="28"/>
    </row>
    <row r="260" spans="1:4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O260" s="28"/>
      <c r="AP260" s="28"/>
    </row>
    <row r="261" spans="1:4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O261" s="28"/>
      <c r="AP261" s="28"/>
    </row>
    <row r="262" spans="1:4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O262" s="28"/>
      <c r="AP262" s="28"/>
    </row>
    <row r="263" spans="1:4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O263" s="28"/>
      <c r="AP263" s="28"/>
    </row>
    <row r="264" spans="1:4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O264" s="28"/>
      <c r="AP264" s="28"/>
    </row>
    <row r="265" spans="1:4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O265" s="28"/>
      <c r="AP265" s="28"/>
    </row>
    <row r="266" spans="1:4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O266" s="28"/>
      <c r="AP266" s="28"/>
    </row>
    <row r="267" spans="1:4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O267" s="28"/>
      <c r="AP267" s="28"/>
    </row>
    <row r="268" spans="1:4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O268" s="28"/>
      <c r="AP268" s="28"/>
    </row>
    <row r="269" spans="1:4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O269" s="28"/>
      <c r="AP269" s="28"/>
    </row>
    <row r="270" spans="1:4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O270" s="28"/>
      <c r="AP270" s="28"/>
    </row>
    <row r="271" spans="1:4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O271" s="28"/>
      <c r="AP271" s="28"/>
    </row>
    <row r="272" spans="1:4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O272" s="28"/>
      <c r="AP272" s="28"/>
    </row>
    <row r="273" spans="1:4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O273" s="28"/>
      <c r="AP273" s="28"/>
    </row>
    <row r="274" spans="1:4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O274" s="28"/>
      <c r="AP274" s="28"/>
    </row>
    <row r="275" spans="1:4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O275" s="28"/>
      <c r="AP275" s="28"/>
    </row>
    <row r="276" spans="1:4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O276" s="28"/>
      <c r="AP276" s="28"/>
    </row>
    <row r="277" spans="1:4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O277" s="28"/>
      <c r="AP277" s="28"/>
    </row>
    <row r="278" spans="1:4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O278" s="28"/>
      <c r="AP278" s="28"/>
    </row>
    <row r="279" spans="1:4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O279" s="28"/>
      <c r="AP279" s="28"/>
    </row>
    <row r="280" spans="1:4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O280" s="28"/>
      <c r="AP280" s="28"/>
    </row>
    <row r="281" spans="1:4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O281" s="28"/>
      <c r="AP281" s="28"/>
    </row>
    <row r="282" spans="1:4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O282" s="28"/>
      <c r="AP282" s="28"/>
    </row>
    <row r="283" spans="1:4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O283" s="28"/>
      <c r="AP283" s="28"/>
    </row>
    <row r="284" spans="1:4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O284" s="28"/>
      <c r="AP284" s="28"/>
    </row>
    <row r="285" spans="1:4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O285" s="28"/>
      <c r="AP285" s="28"/>
    </row>
    <row r="286" spans="1:4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O286" s="28"/>
      <c r="AP286" s="28"/>
    </row>
    <row r="287" spans="1:42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O287" s="28"/>
      <c r="AP287" s="28"/>
    </row>
    <row r="288" spans="1:42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O288" s="28"/>
      <c r="AP288" s="28"/>
    </row>
    <row r="289" spans="1:42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O289" s="28"/>
      <c r="AP289" s="28"/>
    </row>
    <row r="290" spans="1:42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O290" s="28"/>
      <c r="AP290" s="28"/>
    </row>
    <row r="291" spans="1:42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O291" s="28"/>
      <c r="AP291" s="28"/>
    </row>
    <row r="292" spans="1:4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O292" s="28"/>
      <c r="AP292" s="28"/>
    </row>
    <row r="293" spans="1:42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O293" s="28"/>
      <c r="AP293" s="28"/>
    </row>
    <row r="294" spans="1:42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O294" s="28"/>
      <c r="AP294" s="28"/>
    </row>
    <row r="295" spans="1:42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O295" s="28"/>
      <c r="AP295" s="28"/>
    </row>
    <row r="296" spans="1:42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O296" s="28"/>
      <c r="AP296" s="28"/>
    </row>
    <row r="297" spans="1:42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O297" s="28"/>
      <c r="AP297" s="28"/>
    </row>
    <row r="298" spans="1:42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O298" s="28"/>
      <c r="AP298" s="28"/>
    </row>
    <row r="299" spans="1:42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O299" s="28"/>
      <c r="AP299" s="28"/>
    </row>
    <row r="300" spans="1:42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O300" s="28"/>
      <c r="AP300" s="28"/>
    </row>
    <row r="301" spans="1:42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O301" s="28"/>
      <c r="AP301" s="28"/>
    </row>
    <row r="302" spans="1:4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O302" s="28"/>
      <c r="AP302" s="28"/>
    </row>
    <row r="303" spans="1:42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O303" s="28"/>
      <c r="AP303" s="28"/>
    </row>
    <row r="304" spans="1:42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O304" s="28"/>
      <c r="AP304" s="28"/>
    </row>
    <row r="305" spans="1:42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O305" s="28"/>
      <c r="AP305" s="28"/>
    </row>
    <row r="306" spans="1:42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O306" s="28"/>
      <c r="AP306" s="28"/>
    </row>
    <row r="307" spans="1:42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O307" s="28"/>
      <c r="AP307" s="28"/>
    </row>
    <row r="308" spans="1:42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O308" s="28"/>
      <c r="AP308" s="28"/>
    </row>
    <row r="309" spans="1:42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O309" s="28"/>
      <c r="AP309" s="28"/>
    </row>
    <row r="310" spans="1:42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O310" s="28"/>
      <c r="AP310" s="28"/>
    </row>
    <row r="311" spans="1:42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O311" s="28"/>
      <c r="AP311" s="28"/>
    </row>
    <row r="312" spans="1:4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O312" s="28"/>
      <c r="AP312" s="28"/>
    </row>
    <row r="313" spans="1:42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O313" s="28"/>
      <c r="AP313" s="28"/>
    </row>
    <row r="314" spans="1:42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O314" s="28"/>
      <c r="AP314" s="28"/>
    </row>
    <row r="315" spans="1:42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O315" s="28"/>
      <c r="AP315" s="28"/>
    </row>
    <row r="316" spans="1:42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O316" s="28"/>
      <c r="AP316" s="28"/>
    </row>
    <row r="317" spans="1:42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O317" s="28"/>
      <c r="AP317" s="28"/>
    </row>
    <row r="318" spans="1:42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O318" s="28"/>
      <c r="AP318" s="28"/>
    </row>
    <row r="319" spans="1:42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O319" s="28"/>
      <c r="AP319" s="28"/>
    </row>
    <row r="320" spans="1:42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O320" s="28"/>
      <c r="AP320" s="28"/>
    </row>
    <row r="321" spans="1:42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O321" s="28"/>
      <c r="AP321" s="28"/>
    </row>
    <row r="322" spans="1:4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O322" s="28"/>
      <c r="AP322" s="28"/>
    </row>
    <row r="323" spans="1:42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O323" s="28"/>
      <c r="AP323" s="28"/>
    </row>
    <row r="324" spans="1:42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O324" s="28"/>
      <c r="AP324" s="28"/>
    </row>
    <row r="325" spans="1:42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O325" s="28"/>
      <c r="AP325" s="28"/>
    </row>
    <row r="326" spans="1:42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O326" s="28"/>
      <c r="AP326" s="28"/>
    </row>
    <row r="327" spans="1:42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O327" s="28"/>
      <c r="AP327" s="28"/>
    </row>
    <row r="328" spans="1:42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O328" s="28"/>
      <c r="AP328" s="28"/>
    </row>
    <row r="329" spans="1:42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O329" s="28"/>
      <c r="AP329" s="28"/>
    </row>
    <row r="330" spans="1:42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O330" s="28"/>
      <c r="AP330" s="28"/>
    </row>
    <row r="331" spans="1:42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O331" s="28"/>
      <c r="AP331" s="28"/>
    </row>
    <row r="332" spans="1:42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O332" s="28"/>
      <c r="AP332" s="28"/>
    </row>
    <row r="333" spans="1:42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O333" s="28"/>
      <c r="AP333" s="28"/>
    </row>
    <row r="334" spans="1:42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O334" s="28"/>
      <c r="AP334" s="28"/>
    </row>
    <row r="335" spans="1:42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O335" s="28"/>
      <c r="AP335" s="28"/>
    </row>
    <row r="336" spans="1:42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O336" s="28"/>
      <c r="AP336" s="28"/>
    </row>
    <row r="337" spans="1:42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O337" s="28"/>
      <c r="AP337" s="28"/>
    </row>
    <row r="338" spans="1:42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O338" s="28"/>
      <c r="AP338" s="28"/>
    </row>
    <row r="339" spans="1:42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O339" s="28"/>
      <c r="AP339" s="28"/>
    </row>
    <row r="340" spans="1:42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O340" s="28"/>
      <c r="AP340" s="28"/>
    </row>
    <row r="341" spans="1:42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O341" s="28"/>
      <c r="AP341" s="28"/>
    </row>
    <row r="342" spans="1:42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O342" s="28"/>
      <c r="AP342" s="28"/>
    </row>
    <row r="343" spans="1:42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O343" s="28"/>
      <c r="AP343" s="28"/>
    </row>
    <row r="344" spans="1:42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O344" s="28"/>
      <c r="AP344" s="28"/>
    </row>
    <row r="345" spans="1:42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O345" s="28"/>
      <c r="AP345" s="28"/>
    </row>
    <row r="346" spans="1:42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O346" s="28"/>
      <c r="AP346" s="28"/>
    </row>
    <row r="347" spans="1:42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O347" s="28"/>
      <c r="AP347" s="28"/>
    </row>
    <row r="348" spans="1:42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O348" s="28"/>
      <c r="AP348" s="28"/>
    </row>
    <row r="349" spans="1:42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O349" s="28"/>
      <c r="AP349" s="28"/>
    </row>
    <row r="350" spans="1:42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O350" s="28"/>
      <c r="AP350" s="28"/>
    </row>
    <row r="351" spans="1:42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O351" s="28"/>
      <c r="AP351" s="28"/>
    </row>
    <row r="352" spans="1:42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O352" s="28"/>
      <c r="AP352" s="28"/>
    </row>
    <row r="353" spans="1:42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O353" s="28"/>
      <c r="AP353" s="28"/>
    </row>
    <row r="354" spans="1:42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O354" s="28"/>
      <c r="AP354" s="28"/>
    </row>
    <row r="355" spans="1:42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O355" s="28"/>
      <c r="AP355" s="28"/>
    </row>
    <row r="356" spans="1:42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O356" s="28"/>
      <c r="AP356" s="28"/>
    </row>
    <row r="357" spans="1:42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O357" s="28"/>
      <c r="AP357" s="28"/>
    </row>
    <row r="358" spans="1:42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O358" s="28"/>
      <c r="AP358" s="28"/>
    </row>
    <row r="359" spans="1:42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O359" s="28"/>
      <c r="AP359" s="28"/>
    </row>
    <row r="360" spans="1:42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O360" s="28"/>
      <c r="AP360" s="28"/>
    </row>
    <row r="361" spans="1:42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O361" s="28"/>
      <c r="AP361" s="28"/>
    </row>
    <row r="362" spans="1:42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O362" s="28"/>
      <c r="AP362" s="28"/>
    </row>
    <row r="363" spans="1:42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O363" s="28"/>
      <c r="AP363" s="28"/>
    </row>
    <row r="364" spans="1:42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O364" s="28"/>
      <c r="AP364" s="28"/>
    </row>
    <row r="365" spans="1:42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O365" s="28"/>
      <c r="AP365" s="28"/>
    </row>
    <row r="366" spans="1:42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O366" s="28"/>
      <c r="AP366" s="28"/>
    </row>
    <row r="367" spans="1:42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O367" s="28"/>
      <c r="AP367" s="28"/>
    </row>
    <row r="368" spans="1:42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O368" s="28"/>
      <c r="AP368" s="28"/>
    </row>
    <row r="369" spans="1:42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O369" s="28"/>
      <c r="AP369" s="28"/>
    </row>
    <row r="370" spans="1:42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O370" s="28"/>
      <c r="AP370" s="28"/>
    </row>
    <row r="371" spans="1:42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O371" s="28"/>
      <c r="AP371" s="28"/>
    </row>
    <row r="372" spans="1:42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O372" s="28"/>
      <c r="AP372" s="28"/>
    </row>
    <row r="373" spans="1:42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O373" s="28"/>
      <c r="AP373" s="28"/>
    </row>
    <row r="374" spans="1:42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O374" s="28"/>
      <c r="AP374" s="28"/>
    </row>
    <row r="375" spans="1:42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O375" s="28"/>
      <c r="AP375" s="28"/>
    </row>
    <row r="376" spans="1:42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O376" s="28"/>
      <c r="AP376" s="28"/>
    </row>
    <row r="377" spans="1:42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O377" s="28"/>
      <c r="AP377" s="28"/>
    </row>
    <row r="378" spans="1:42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O378" s="28"/>
      <c r="AP378" s="28"/>
    </row>
    <row r="379" spans="1:42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O379" s="28"/>
      <c r="AP379" s="28"/>
    </row>
    <row r="380" spans="1:42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O380" s="28"/>
      <c r="AP380" s="28"/>
    </row>
    <row r="381" spans="1:42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O381" s="28"/>
      <c r="AP381" s="28"/>
    </row>
    <row r="382" spans="1:42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O382" s="28"/>
      <c r="AP382" s="28"/>
    </row>
    <row r="383" spans="1:42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O383" s="28"/>
      <c r="AP383" s="28"/>
    </row>
    <row r="384" spans="1:42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O384" s="28"/>
      <c r="AP384" s="28"/>
    </row>
    <row r="385" spans="1:42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O385" s="28"/>
      <c r="AP385" s="28"/>
    </row>
    <row r="386" spans="1:42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O386" s="28"/>
      <c r="AP386" s="28"/>
    </row>
    <row r="387" spans="1:42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O387" s="28"/>
      <c r="AP387" s="28"/>
    </row>
    <row r="388" spans="1:42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O388" s="28"/>
      <c r="AP388" s="28"/>
    </row>
    <row r="389" spans="1:42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O389" s="28"/>
      <c r="AP389" s="28"/>
    </row>
    <row r="390" spans="1:42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O390" s="28"/>
      <c r="AP390" s="28"/>
    </row>
    <row r="391" spans="1:42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O391" s="28"/>
      <c r="AP391" s="28"/>
    </row>
    <row r="392" spans="1:42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O392" s="28"/>
      <c r="AP392" s="28"/>
    </row>
    <row r="393" spans="1:42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O393" s="28"/>
      <c r="AP393" s="28"/>
    </row>
    <row r="394" spans="1:42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O394" s="28"/>
      <c r="AP394" s="28"/>
    </row>
    <row r="395" spans="1:42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O395" s="28"/>
      <c r="AP395" s="28"/>
    </row>
    <row r="396" spans="1:42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O396" s="28"/>
      <c r="AP396" s="28"/>
    </row>
    <row r="397" spans="1:42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O397" s="28"/>
      <c r="AP397" s="28"/>
    </row>
    <row r="398" spans="1:42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O398" s="28"/>
      <c r="AP398" s="28"/>
    </row>
    <row r="399" spans="1:42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O399" s="28"/>
      <c r="AP399" s="28"/>
    </row>
    <row r="400" spans="1:42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O400" s="28"/>
      <c r="AP400" s="28"/>
    </row>
    <row r="401" spans="1:42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O401" s="28"/>
      <c r="AP401" s="28"/>
    </row>
    <row r="402" spans="1:42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O402" s="28"/>
      <c r="AP402" s="28"/>
    </row>
    <row r="403" spans="1:42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O403" s="28"/>
      <c r="AP403" s="28"/>
    </row>
    <row r="404" spans="1:42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O404" s="28"/>
      <c r="AP404" s="28"/>
    </row>
    <row r="405" spans="1:42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O405" s="28"/>
      <c r="AP405" s="28"/>
    </row>
    <row r="406" spans="1:42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O406" s="28"/>
      <c r="AP406" s="28"/>
    </row>
    <row r="407" spans="1:42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O407" s="28"/>
      <c r="AP407" s="28"/>
    </row>
    <row r="408" spans="1:42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O408" s="28"/>
      <c r="AP408" s="28"/>
    </row>
    <row r="409" spans="1:42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O409" s="28"/>
      <c r="AP409" s="28"/>
    </row>
    <row r="410" spans="1:42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O410" s="28"/>
      <c r="AP410" s="28"/>
    </row>
  </sheetData>
  <phoneticPr fontId="0" type="noConversion"/>
  <conditionalFormatting sqref="AM54:AN54 AF56:AK75 AF54:AK54 AM29:AN51 AM3:AN15 AF3:AK51">
    <cfRule type="expression" dxfId="9" priority="1" stopIfTrue="1">
      <formula>IF(D3="X",TRUE,FALSE)</formula>
    </cfRule>
  </conditionalFormatting>
  <conditionalFormatting sqref="AA54:AA74 AL54:AL74 AM16:AN28 Q15 Q48 J54:P74 AA15:AA50 AA3:AA8 AB15 AL3:AL51 J3:P51 AA9:AB14">
    <cfRule type="expression" dxfId="8" priority="2" stopIfTrue="1">
      <formula>IF(D3="X",TRUE,FALSE)</formula>
    </cfRule>
  </conditionalFormatting>
  <conditionalFormatting sqref="U54:Z57 U3:Z50">
    <cfRule type="expression" dxfId="7" priority="3" stopIfTrue="1">
      <formula>IF(D3="X",TRUE,FALSE)</formula>
    </cfRule>
  </conditionalFormatting>
  <conditionalFormatting sqref="AL75:AL81 J75:AE81">
    <cfRule type="expression" priority="4" stopIfTrue="1">
      <formula>IF(D75="X",TRUE,FALSE)</formula>
    </cfRule>
  </conditionalFormatting>
  <conditionalFormatting sqref="Q57:T74 AM57:AN57 AB54:AB74 AC57:AE74 AB36:AB51 AO57:AP74 U51:AA51 BQ31 BQ46 AB3:AB8">
    <cfRule type="expression" dxfId="6" priority="5" stopIfTrue="1">
      <formula>IF(J3="X",TRUE,FALSE)</formula>
    </cfRule>
  </conditionalFormatting>
  <conditionalFormatting sqref="AM58:AN75 AM56:AN56">
    <cfRule type="expression" dxfId="5" priority="6" stopIfTrue="1">
      <formula>IF(J56="X",TRUE,FALSE)</formula>
    </cfRule>
  </conditionalFormatting>
  <conditionalFormatting sqref="U58:Z74">
    <cfRule type="expression" dxfId="4" priority="7" stopIfTrue="1">
      <formula>IF(K58="X",TRUE,FALSE)</formula>
    </cfRule>
  </conditionalFormatting>
  <conditionalFormatting sqref="BI4:BN50">
    <cfRule type="expression" dxfId="3" priority="8" stopIfTrue="1">
      <formula>IF(R4="X",TRUE,FALSE)</formula>
    </cfRule>
  </conditionalFormatting>
  <conditionalFormatting sqref="AB29:AB34 A56">
    <cfRule type="expression" dxfId="2" priority="9" stopIfTrue="1">
      <formula>IF(XEW29="X",TRUE,FALSE)</formula>
    </cfRule>
  </conditionalFormatting>
  <conditionalFormatting sqref="AO75:AP81">
    <cfRule type="expression" priority="10" stopIfTrue="1">
      <formula>IF(AH75="X",TRUE,FALSE)</formula>
    </cfRule>
  </conditionalFormatting>
  <conditionalFormatting sqref="A57">
    <cfRule type="expression" dxfId="1" priority="11" stopIfTrue="1">
      <formula>IF(XEE57="X",TRUE,FALSE)</formula>
    </cfRule>
  </conditionalFormatting>
  <conditionalFormatting sqref="BR8:BU8">
    <cfRule type="expression" dxfId="0" priority="12" stopIfTrue="1">
      <formula>IF(AN8="X",TRUE,FALSE)</formula>
    </cfRule>
  </conditionalFormatting>
  <pageMargins left="0.75" right="0.75" top="1" bottom="1" header="0.5" footer="0.5"/>
  <pageSetup paperSize="0" orientation="portrait" horizontalDpi="4294967292" verticalDpi="4294967292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T44"/>
  <sheetViews>
    <sheetView workbookViewId="0">
      <pane xSplit="2" ySplit="1" topLeftCell="C2" activePane="bottomRight" state="frozenSplit"/>
      <selection pane="topRight" activeCell="C1" sqref="C1"/>
      <selection pane="bottomLeft" activeCell="A2" sqref="A2"/>
      <selection pane="bottomRight" activeCell="B24" sqref="B24"/>
    </sheetView>
  </sheetViews>
  <sheetFormatPr defaultColWidth="10.85546875" defaultRowHeight="12.75"/>
  <cols>
    <col min="1" max="1" width="43.140625" style="3" customWidth="1"/>
    <col min="2" max="2" width="20.85546875" style="3" customWidth="1"/>
    <col min="3" max="3" width="11.140625" style="3" bestFit="1" customWidth="1"/>
    <col min="4" max="4" width="10.140625" style="3" customWidth="1"/>
    <col min="5" max="5" width="13.140625" style="3" hidden="1" customWidth="1"/>
    <col min="6" max="6" width="13.42578125" style="3" hidden="1" customWidth="1"/>
    <col min="7" max="7" width="31.7109375" style="3" hidden="1" customWidth="1"/>
    <col min="8" max="8" width="13.42578125" style="3" hidden="1" customWidth="1"/>
    <col min="9" max="9" width="43.42578125" style="3" bestFit="1" customWidth="1"/>
    <col min="10" max="10" width="7.42578125" style="2" bestFit="1" customWidth="1"/>
    <col min="11" max="12" width="11.28515625" style="3" customWidth="1"/>
    <col min="13" max="14" width="13.7109375" style="3" hidden="1" customWidth="1"/>
    <col min="15" max="15" width="46" style="14" bestFit="1" customWidth="1"/>
    <col min="16" max="16384" width="10.85546875" style="14"/>
  </cols>
  <sheetData>
    <row r="1" spans="1:20" ht="76.5">
      <c r="A1" s="78" t="s">
        <v>167</v>
      </c>
      <c r="B1" s="78" t="s">
        <v>231</v>
      </c>
      <c r="C1" s="54" t="s">
        <v>232</v>
      </c>
      <c r="D1" s="54" t="s">
        <v>168</v>
      </c>
      <c r="E1" s="54" t="s">
        <v>165</v>
      </c>
      <c r="F1" s="54" t="s">
        <v>166</v>
      </c>
      <c r="G1" s="54" t="s">
        <v>230</v>
      </c>
      <c r="H1" s="54" t="s">
        <v>233</v>
      </c>
      <c r="I1" s="79" t="s">
        <v>100</v>
      </c>
      <c r="J1" s="80" t="s">
        <v>227</v>
      </c>
      <c r="K1" s="55" t="s">
        <v>75</v>
      </c>
      <c r="L1" s="55" t="s">
        <v>33</v>
      </c>
      <c r="M1" s="55" t="s">
        <v>77</v>
      </c>
      <c r="N1" s="55" t="s">
        <v>76</v>
      </c>
      <c r="O1" s="77" t="s">
        <v>78</v>
      </c>
    </row>
    <row r="2" spans="1:20">
      <c r="A2" s="3" t="s">
        <v>234</v>
      </c>
      <c r="B2" s="3" t="s">
        <v>236</v>
      </c>
      <c r="C2" s="81">
        <v>66000</v>
      </c>
      <c r="D2" s="82">
        <f t="shared" ref="D2:D21" si="0">(E2*3.6+F2)/1000</f>
        <v>12.4476</v>
      </c>
      <c r="E2" s="82">
        <v>2541</v>
      </c>
      <c r="F2" s="82">
        <v>3300</v>
      </c>
      <c r="G2" s="3" t="s">
        <v>235</v>
      </c>
      <c r="H2" s="3">
        <v>11</v>
      </c>
      <c r="I2" s="3" t="str">
        <f>'Compiled Information'!A30</f>
        <v>New Home Program</v>
      </c>
      <c r="J2" s="2">
        <v>30</v>
      </c>
      <c r="K2" s="73">
        <f>IF(M2=0,"No Spending",C2/1000000/M2)</f>
        <v>0.20787401574803149</v>
      </c>
      <c r="L2" s="73">
        <f>IF(N2=0,"No Savings",D2/N2)</f>
        <v>2.8813888888888886</v>
      </c>
      <c r="M2" s="83">
        <f>'Compiled Information'!AL30</f>
        <v>0.3175</v>
      </c>
      <c r="N2" s="83">
        <f>'Compiled Information'!AA30</f>
        <v>4.32</v>
      </c>
      <c r="O2" s="14" t="s">
        <v>228</v>
      </c>
      <c r="R2" s="75"/>
      <c r="S2" s="76"/>
      <c r="T2" s="76"/>
    </row>
    <row r="3" spans="1:20">
      <c r="A3" s="3" t="s">
        <v>237</v>
      </c>
      <c r="B3" s="3" t="s">
        <v>120</v>
      </c>
      <c r="C3" s="81">
        <v>14000</v>
      </c>
      <c r="D3" s="82">
        <f t="shared" si="0"/>
        <v>1.1591788000000001</v>
      </c>
      <c r="E3" s="82">
        <v>160.88300000000001</v>
      </c>
      <c r="F3" s="82">
        <v>580</v>
      </c>
      <c r="G3" s="3" t="s">
        <v>235</v>
      </c>
      <c r="H3" s="3">
        <v>13</v>
      </c>
      <c r="I3" s="3" t="str">
        <f>'Compiled Information'!A47</f>
        <v>Solar hot water heating program</v>
      </c>
      <c r="J3" s="2">
        <v>47</v>
      </c>
      <c r="K3" s="73">
        <f t="shared" ref="K3:K42" si="1">IF(M3=0,"No Spending",C3/1000000/M3)</f>
        <v>1</v>
      </c>
      <c r="L3" s="73">
        <f>IF(N3=0,"No Savings",D3/N3)</f>
        <v>1</v>
      </c>
      <c r="M3" s="83">
        <f>'Compiled Information'!AL47</f>
        <v>1.4E-2</v>
      </c>
      <c r="N3" s="83">
        <f>'Compiled Information'!AA47</f>
        <v>1.1591788000000001</v>
      </c>
      <c r="R3" s="75"/>
      <c r="S3" s="76"/>
      <c r="T3" s="76"/>
    </row>
    <row r="4" spans="1:20">
      <c r="A4" s="3" t="s">
        <v>238</v>
      </c>
      <c r="B4" s="3" t="s">
        <v>240</v>
      </c>
      <c r="C4" s="81">
        <v>118000</v>
      </c>
      <c r="D4" s="82">
        <f t="shared" si="0"/>
        <v>5.9</v>
      </c>
      <c r="E4" s="82">
        <v>812.5</v>
      </c>
      <c r="F4" s="82">
        <v>2975</v>
      </c>
      <c r="G4" s="3" t="s">
        <v>239</v>
      </c>
      <c r="H4" s="3">
        <v>19</v>
      </c>
      <c r="I4" s="3" t="str">
        <f>'Compiled Information'!A4</f>
        <v>EnerGuide for new houses</v>
      </c>
      <c r="J4" s="2">
        <v>4</v>
      </c>
      <c r="K4" s="73">
        <f t="shared" si="1"/>
        <v>4.99473282442748</v>
      </c>
      <c r="L4" s="73">
        <f t="shared" ref="L4:L42" si="2">IF(N4=0,"No Savings",D4/N4)</f>
        <v>17.564885496183205</v>
      </c>
      <c r="M4" s="83">
        <f>'Compiled Information'!AL4</f>
        <v>2.3624887285843103E-2</v>
      </c>
      <c r="N4" s="83">
        <f>'Compiled Information'!AA4</f>
        <v>0.33589743589743593</v>
      </c>
      <c r="O4" s="14" t="s">
        <v>228</v>
      </c>
      <c r="R4" s="75"/>
      <c r="S4" s="76"/>
      <c r="T4" s="76"/>
    </row>
    <row r="5" spans="1:20">
      <c r="A5" s="3" t="s">
        <v>101</v>
      </c>
      <c r="B5" s="3" t="s">
        <v>121</v>
      </c>
      <c r="C5" s="81">
        <v>98000</v>
      </c>
      <c r="D5" s="82">
        <f t="shared" si="0"/>
        <v>10</v>
      </c>
      <c r="E5" s="82">
        <v>1388.8888888888889</v>
      </c>
      <c r="F5" s="82">
        <v>5000</v>
      </c>
      <c r="G5" s="3" t="s">
        <v>102</v>
      </c>
      <c r="H5" s="3">
        <v>48</v>
      </c>
      <c r="I5" s="3" t="str">
        <f>'Compiled Information'!A49</f>
        <v>BOMA Go Green</v>
      </c>
      <c r="J5" s="2">
        <v>49</v>
      </c>
      <c r="K5" s="73">
        <f t="shared" si="1"/>
        <v>1</v>
      </c>
      <c r="L5" s="73">
        <f t="shared" si="2"/>
        <v>0.99996000159993592</v>
      </c>
      <c r="M5" s="83">
        <f>'Compiled Information'!AL49</f>
        <v>9.8000000000000004E-2</v>
      </c>
      <c r="N5" s="83">
        <f>'Compiled Information'!AA49</f>
        <v>10.000400000000001</v>
      </c>
      <c r="R5" s="75"/>
      <c r="S5" s="76"/>
      <c r="T5" s="76"/>
    </row>
    <row r="6" spans="1:20">
      <c r="A6" s="3" t="s">
        <v>258</v>
      </c>
      <c r="B6" s="3" t="s">
        <v>259</v>
      </c>
      <c r="C6" s="81">
        <v>87500</v>
      </c>
      <c r="D6" s="82">
        <f t="shared" si="0"/>
        <v>32.005400000000002</v>
      </c>
      <c r="E6" s="82">
        <v>4654</v>
      </c>
      <c r="F6" s="82">
        <v>15251</v>
      </c>
      <c r="G6" s="3" t="s">
        <v>102</v>
      </c>
      <c r="H6" s="3">
        <v>52</v>
      </c>
      <c r="I6" s="3" t="str">
        <f>'Compiled Information'!A50</f>
        <v>BES Diploma Program</v>
      </c>
      <c r="J6" s="2">
        <v>50</v>
      </c>
      <c r="K6" s="73">
        <f t="shared" si="1"/>
        <v>1</v>
      </c>
      <c r="L6" s="73">
        <f t="shared" si="2"/>
        <v>1</v>
      </c>
      <c r="M6" s="83">
        <f>'Compiled Information'!AL50</f>
        <v>8.7499999999999994E-2</v>
      </c>
      <c r="N6" s="83">
        <f>'Compiled Information'!AA50</f>
        <v>32.005400000000002</v>
      </c>
      <c r="R6" s="75"/>
      <c r="S6" s="76"/>
      <c r="T6" s="76"/>
    </row>
    <row r="7" spans="1:20">
      <c r="A7" s="3" t="s">
        <v>103</v>
      </c>
      <c r="B7" s="3" t="s">
        <v>179</v>
      </c>
      <c r="C7" s="81">
        <v>37047</v>
      </c>
      <c r="D7" s="82">
        <f t="shared" si="0"/>
        <v>0.81296000000000002</v>
      </c>
      <c r="E7" s="82">
        <v>3.6</v>
      </c>
      <c r="F7" s="82">
        <v>800</v>
      </c>
      <c r="G7" s="3" t="s">
        <v>104</v>
      </c>
      <c r="H7" s="3">
        <v>60</v>
      </c>
      <c r="I7" s="3" t="s">
        <v>7</v>
      </c>
      <c r="J7" s="2" t="s">
        <v>8</v>
      </c>
      <c r="K7" s="73">
        <f t="shared" si="1"/>
        <v>6.6160418414865876E-2</v>
      </c>
      <c r="L7" s="73">
        <f t="shared" si="2"/>
        <v>3.4885177166279924E-2</v>
      </c>
      <c r="M7" s="84">
        <f>SUM('Compiled Information'!AL17:AL18)</f>
        <v>0.55995715999999995</v>
      </c>
      <c r="N7" s="84">
        <f>SUM('Compiled Information'!AA17:AA18)</f>
        <v>23.303880502742828</v>
      </c>
      <c r="R7" s="75"/>
      <c r="S7" s="76"/>
      <c r="T7" s="76"/>
    </row>
    <row r="8" spans="1:20">
      <c r="A8" s="3" t="s">
        <v>105</v>
      </c>
      <c r="B8" s="3" t="s">
        <v>236</v>
      </c>
      <c r="C8" s="81">
        <v>53195</v>
      </c>
      <c r="D8" s="82">
        <f t="shared" si="0"/>
        <v>1.3466879999999999</v>
      </c>
      <c r="E8" s="82">
        <v>374.08</v>
      </c>
      <c r="F8" s="82">
        <v>0</v>
      </c>
      <c r="G8" s="3" t="s">
        <v>104</v>
      </c>
      <c r="H8" s="3">
        <v>61</v>
      </c>
      <c r="I8" s="3" t="s">
        <v>72</v>
      </c>
      <c r="J8" s="2" t="s">
        <v>73</v>
      </c>
      <c r="K8" s="73">
        <f t="shared" si="1"/>
        <v>0.14809298440979954</v>
      </c>
      <c r="L8" s="73">
        <f t="shared" si="2"/>
        <v>0.28775384615384608</v>
      </c>
      <c r="M8" s="84">
        <f>SUM('Compiled Information'!AL29:AL30)</f>
        <v>0.35920000000000002</v>
      </c>
      <c r="N8" s="84">
        <f>SUM('Compiled Information'!AA29:AA30)</f>
        <v>4.6800000000000006</v>
      </c>
      <c r="R8" s="75"/>
      <c r="S8" s="76"/>
      <c r="T8" s="76"/>
    </row>
    <row r="9" spans="1:20">
      <c r="A9" s="3" t="s">
        <v>29</v>
      </c>
      <c r="B9" s="3" t="s">
        <v>107</v>
      </c>
      <c r="C9" s="81">
        <v>19800</v>
      </c>
      <c r="D9" s="82">
        <f t="shared" si="0"/>
        <v>0.4032</v>
      </c>
      <c r="E9" s="82">
        <v>112</v>
      </c>
      <c r="F9" s="82">
        <v>0</v>
      </c>
      <c r="G9" s="3" t="s">
        <v>106</v>
      </c>
      <c r="H9" s="3">
        <v>72</v>
      </c>
      <c r="I9" s="3" t="str">
        <f>'Compiled Information'!A35</f>
        <v>Smart Meters</v>
      </c>
      <c r="J9" s="2">
        <v>35</v>
      </c>
      <c r="K9" s="73">
        <f t="shared" si="1"/>
        <v>1</v>
      </c>
      <c r="L9" s="73">
        <f t="shared" si="2"/>
        <v>1</v>
      </c>
      <c r="M9" s="83">
        <f>'Compiled Information'!AL35</f>
        <v>1.9800000000000002E-2</v>
      </c>
      <c r="N9" s="83">
        <f>'Compiled Information'!AA35</f>
        <v>0.4032</v>
      </c>
      <c r="R9" s="75"/>
      <c r="S9" s="76"/>
      <c r="T9" s="76"/>
    </row>
    <row r="10" spans="1:20">
      <c r="A10" s="3" t="s">
        <v>108</v>
      </c>
      <c r="B10" s="3" t="s">
        <v>109</v>
      </c>
      <c r="C10" s="81">
        <v>261050</v>
      </c>
      <c r="D10" s="82">
        <f t="shared" si="0"/>
        <v>12.087819999999999</v>
      </c>
      <c r="E10" s="82">
        <v>0</v>
      </c>
      <c r="F10" s="82">
        <v>12087.82</v>
      </c>
      <c r="G10" s="3" t="s">
        <v>106</v>
      </c>
      <c r="H10" s="3">
        <v>76</v>
      </c>
      <c r="I10" s="3" t="str">
        <f>'Compiled Information'!A37</f>
        <v>New Construction Energy Star Heating Systems</v>
      </c>
      <c r="J10" s="2">
        <v>37</v>
      </c>
      <c r="K10" s="73" t="str">
        <f t="shared" si="1"/>
        <v>No Spending</v>
      </c>
      <c r="L10" s="73">
        <f t="shared" si="2"/>
        <v>1.5875781455214077</v>
      </c>
      <c r="M10" s="83">
        <f>'Compiled Information'!AL37</f>
        <v>0</v>
      </c>
      <c r="N10" s="83">
        <f>'Compiled Information'!AA37</f>
        <v>7.6139999999999999</v>
      </c>
      <c r="O10" s="14" t="s">
        <v>228</v>
      </c>
      <c r="R10" s="75"/>
      <c r="S10" s="76"/>
      <c r="T10" s="76"/>
    </row>
    <row r="11" spans="1:20">
      <c r="A11" s="3" t="s">
        <v>110</v>
      </c>
      <c r="B11" s="3" t="s">
        <v>109</v>
      </c>
      <c r="C11" s="81">
        <v>568500</v>
      </c>
      <c r="D11" s="82">
        <f t="shared" si="0"/>
        <v>73.887799999999999</v>
      </c>
      <c r="E11" s="82">
        <v>1038.5</v>
      </c>
      <c r="F11" s="82">
        <v>70149.2</v>
      </c>
      <c r="G11" s="3" t="s">
        <v>106</v>
      </c>
      <c r="H11" s="3">
        <v>77</v>
      </c>
      <c r="I11" s="3" t="str">
        <f>'Compiled Information'!A36</f>
        <v>High Efficiency Furnace/Boiler Upgrades</v>
      </c>
      <c r="J11" s="2">
        <v>36</v>
      </c>
      <c r="K11" s="73" t="str">
        <f t="shared" si="1"/>
        <v>No Spending</v>
      </c>
      <c r="L11" s="73">
        <f t="shared" si="2"/>
        <v>1.5297681159420291</v>
      </c>
      <c r="M11" s="83">
        <f>'Compiled Information'!AL36</f>
        <v>0</v>
      </c>
      <c r="N11" s="83">
        <f>'Compiled Information'!AA36</f>
        <v>48.3</v>
      </c>
      <c r="O11" s="14" t="s">
        <v>228</v>
      </c>
      <c r="R11" s="75"/>
      <c r="S11" s="76"/>
      <c r="T11" s="76"/>
    </row>
    <row r="12" spans="1:20">
      <c r="A12" s="3" t="s">
        <v>15</v>
      </c>
      <c r="B12" s="3" t="s">
        <v>111</v>
      </c>
      <c r="C12" s="81">
        <v>15500</v>
      </c>
      <c r="D12" s="82">
        <f t="shared" si="0"/>
        <v>1.65</v>
      </c>
      <c r="E12" s="82">
        <v>0</v>
      </c>
      <c r="F12" s="82">
        <v>1650</v>
      </c>
      <c r="G12" s="3" t="s">
        <v>106</v>
      </c>
      <c r="H12" s="3">
        <v>80</v>
      </c>
      <c r="I12" s="3" t="str">
        <f>'Compiled Information'!A46</f>
        <v>Energy* heating</v>
      </c>
      <c r="J12" s="2">
        <v>46</v>
      </c>
      <c r="K12" s="73">
        <f t="shared" si="1"/>
        <v>1</v>
      </c>
      <c r="L12" s="73">
        <f t="shared" si="2"/>
        <v>1</v>
      </c>
      <c r="M12" s="83">
        <f>'Compiled Information'!AL46</f>
        <v>1.55E-2</v>
      </c>
      <c r="N12" s="83">
        <f>'Compiled Information'!AA46</f>
        <v>1.65</v>
      </c>
      <c r="R12" s="75"/>
      <c r="S12" s="76"/>
      <c r="T12" s="76"/>
    </row>
    <row r="13" spans="1:20">
      <c r="A13" s="3" t="s">
        <v>112</v>
      </c>
      <c r="B13" s="3" t="s">
        <v>236</v>
      </c>
      <c r="C13" s="81">
        <v>50370</v>
      </c>
      <c r="D13" s="82">
        <f t="shared" si="0"/>
        <v>43.373015999999993</v>
      </c>
      <c r="E13" s="82">
        <v>12048.06</v>
      </c>
      <c r="F13" s="82">
        <v>0</v>
      </c>
      <c r="G13" s="3" t="s">
        <v>106</v>
      </c>
      <c r="H13" s="3">
        <v>81</v>
      </c>
      <c r="I13" s="3" t="str">
        <f>'Compiled Information'!A31</f>
        <v>Heat Pumps Program</v>
      </c>
      <c r="J13" s="2">
        <v>31</v>
      </c>
      <c r="K13" s="73">
        <f t="shared" si="1"/>
        <v>7.4832862873272912E-2</v>
      </c>
      <c r="L13" s="73">
        <f t="shared" si="2"/>
        <v>1.9750918032786882</v>
      </c>
      <c r="M13" s="83">
        <f>'Compiled Information'!AL31</f>
        <v>0.67310000000000003</v>
      </c>
      <c r="N13" s="83">
        <f>'Compiled Information'!AA31</f>
        <v>21.96</v>
      </c>
      <c r="O13" s="14" t="s">
        <v>228</v>
      </c>
      <c r="R13" s="75"/>
      <c r="S13" s="76"/>
      <c r="T13" s="76"/>
    </row>
    <row r="14" spans="1:20">
      <c r="A14" s="3" t="s">
        <v>199</v>
      </c>
      <c r="B14" s="3" t="s">
        <v>200</v>
      </c>
      <c r="C14" s="81">
        <v>163522.78</v>
      </c>
      <c r="D14" s="82">
        <f t="shared" si="0"/>
        <v>0</v>
      </c>
      <c r="E14" s="82">
        <v>0</v>
      </c>
      <c r="F14" s="82">
        <v>0</v>
      </c>
      <c r="G14" s="3" t="s">
        <v>184</v>
      </c>
      <c r="H14" s="3">
        <v>95</v>
      </c>
      <c r="I14" s="3" t="str">
        <f>'Compiled Information'!A15</f>
        <v>Community Action on Energy Efficiency</v>
      </c>
      <c r="J14" s="2">
        <v>15</v>
      </c>
      <c r="K14" s="73">
        <f t="shared" si="1"/>
        <v>1</v>
      </c>
      <c r="L14" s="73" t="str">
        <f t="shared" si="2"/>
        <v>No Savings</v>
      </c>
      <c r="M14" s="83">
        <f>'Compiled Information'!AL15</f>
        <v>0.16352278000000001</v>
      </c>
      <c r="N14" s="83">
        <f>'Compiled Information'!AA15</f>
        <v>0</v>
      </c>
      <c r="R14" s="75"/>
      <c r="S14" s="76"/>
      <c r="T14" s="76"/>
    </row>
    <row r="15" spans="1:20">
      <c r="A15" s="3" t="s">
        <v>191</v>
      </c>
      <c r="B15" s="3" t="s">
        <v>192</v>
      </c>
      <c r="C15" s="81">
        <v>7500</v>
      </c>
      <c r="D15" s="82">
        <f t="shared" si="0"/>
        <v>0</v>
      </c>
      <c r="E15" s="82">
        <v>0</v>
      </c>
      <c r="F15" s="82">
        <v>0</v>
      </c>
      <c r="G15" s="3" t="s">
        <v>235</v>
      </c>
      <c r="H15" s="3">
        <v>106</v>
      </c>
      <c r="I15" s="3" t="s">
        <v>208</v>
      </c>
      <c r="J15" s="2" t="s">
        <v>207</v>
      </c>
      <c r="K15" s="73" t="str">
        <f t="shared" si="1"/>
        <v>No Spending</v>
      </c>
      <c r="L15" s="73" t="str">
        <f t="shared" si="2"/>
        <v>No Savings</v>
      </c>
      <c r="M15" s="85"/>
      <c r="N15" s="85"/>
    </row>
    <row r="16" spans="1:20">
      <c r="A16" s="3" t="s">
        <v>191</v>
      </c>
      <c r="B16" s="3" t="s">
        <v>192</v>
      </c>
      <c r="C16" s="81">
        <v>7500</v>
      </c>
      <c r="D16" s="82">
        <f t="shared" si="0"/>
        <v>0</v>
      </c>
      <c r="E16" s="82">
        <v>0</v>
      </c>
      <c r="F16" s="82">
        <v>0</v>
      </c>
      <c r="G16" s="3" t="s">
        <v>239</v>
      </c>
      <c r="H16" s="3">
        <v>7</v>
      </c>
      <c r="I16" s="3" t="s">
        <v>208</v>
      </c>
      <c r="J16" s="2" t="s">
        <v>207</v>
      </c>
      <c r="K16" s="73" t="str">
        <f t="shared" si="1"/>
        <v>No Spending</v>
      </c>
      <c r="L16" s="73" t="str">
        <f t="shared" si="2"/>
        <v>No Savings</v>
      </c>
      <c r="M16" s="85"/>
      <c r="N16" s="85"/>
    </row>
    <row r="17" spans="1:14">
      <c r="A17" s="3" t="s">
        <v>191</v>
      </c>
      <c r="B17" s="3" t="s">
        <v>192</v>
      </c>
      <c r="C17" s="81">
        <v>20000</v>
      </c>
      <c r="D17" s="82">
        <f t="shared" si="0"/>
        <v>0</v>
      </c>
      <c r="E17" s="82">
        <v>0</v>
      </c>
      <c r="F17" s="82">
        <v>0</v>
      </c>
      <c r="G17" s="3" t="s">
        <v>196</v>
      </c>
      <c r="H17" s="3">
        <v>25</v>
      </c>
      <c r="I17" s="3" t="s">
        <v>208</v>
      </c>
      <c r="J17" s="2" t="s">
        <v>207</v>
      </c>
      <c r="K17" s="73" t="str">
        <f t="shared" si="1"/>
        <v>No Spending</v>
      </c>
      <c r="L17" s="73" t="str">
        <f t="shared" si="2"/>
        <v>No Savings</v>
      </c>
      <c r="M17" s="85"/>
      <c r="N17" s="85"/>
    </row>
    <row r="18" spans="1:14">
      <c r="A18" s="3" t="s">
        <v>191</v>
      </c>
      <c r="B18" s="3" t="s">
        <v>192</v>
      </c>
      <c r="C18" s="81">
        <v>33975.300000000003</v>
      </c>
      <c r="D18" s="82">
        <f t="shared" si="0"/>
        <v>0</v>
      </c>
      <c r="E18" s="82">
        <v>0</v>
      </c>
      <c r="F18" s="82">
        <v>0</v>
      </c>
      <c r="G18" s="3" t="s">
        <v>187</v>
      </c>
      <c r="H18" s="3">
        <v>41</v>
      </c>
      <c r="I18" s="3" t="s">
        <v>208</v>
      </c>
      <c r="J18" s="2" t="s">
        <v>207</v>
      </c>
      <c r="K18" s="73" t="str">
        <f t="shared" si="1"/>
        <v>No Spending</v>
      </c>
      <c r="L18" s="73" t="str">
        <f t="shared" si="2"/>
        <v>No Savings</v>
      </c>
      <c r="M18" s="85"/>
      <c r="N18" s="85"/>
    </row>
    <row r="19" spans="1:14">
      <c r="A19" s="3" t="s">
        <v>191</v>
      </c>
      <c r="B19" s="3" t="s">
        <v>192</v>
      </c>
      <c r="C19" s="81">
        <v>7500</v>
      </c>
      <c r="D19" s="82">
        <f t="shared" si="0"/>
        <v>0</v>
      </c>
      <c r="E19" s="82">
        <v>0</v>
      </c>
      <c r="F19" s="82">
        <v>0</v>
      </c>
      <c r="G19" s="3" t="s">
        <v>102</v>
      </c>
      <c r="H19" s="3">
        <v>104</v>
      </c>
      <c r="I19" s="3" t="s">
        <v>208</v>
      </c>
      <c r="J19" s="2" t="s">
        <v>207</v>
      </c>
      <c r="K19" s="73" t="str">
        <f t="shared" si="1"/>
        <v>No Spending</v>
      </c>
      <c r="L19" s="73" t="str">
        <f t="shared" si="2"/>
        <v>No Savings</v>
      </c>
      <c r="M19" s="85"/>
      <c r="N19" s="85"/>
    </row>
    <row r="20" spans="1:14">
      <c r="A20" s="3" t="s">
        <v>191</v>
      </c>
      <c r="B20" s="3" t="s">
        <v>192</v>
      </c>
      <c r="C20" s="81">
        <v>150000</v>
      </c>
      <c r="D20" s="82">
        <f t="shared" si="0"/>
        <v>0</v>
      </c>
      <c r="E20" s="82">
        <v>0</v>
      </c>
      <c r="F20" s="82">
        <v>0</v>
      </c>
      <c r="G20" s="3" t="s">
        <v>104</v>
      </c>
      <c r="H20" s="3">
        <v>51</v>
      </c>
      <c r="I20" s="3" t="s">
        <v>208</v>
      </c>
      <c r="J20" s="2" t="s">
        <v>207</v>
      </c>
      <c r="K20" s="73" t="str">
        <f t="shared" si="1"/>
        <v>No Spending</v>
      </c>
      <c r="L20" s="73" t="str">
        <f t="shared" si="2"/>
        <v>No Savings</v>
      </c>
      <c r="M20" s="85"/>
      <c r="N20" s="85"/>
    </row>
    <row r="21" spans="1:14">
      <c r="A21" s="3" t="s">
        <v>191</v>
      </c>
      <c r="B21" s="3" t="s">
        <v>192</v>
      </c>
      <c r="C21" s="81">
        <v>70703.7</v>
      </c>
      <c r="D21" s="82">
        <f t="shared" si="0"/>
        <v>0</v>
      </c>
      <c r="E21" s="82">
        <v>0</v>
      </c>
      <c r="F21" s="82">
        <v>0</v>
      </c>
      <c r="G21" s="3" t="s">
        <v>106</v>
      </c>
      <c r="H21" s="3">
        <v>62</v>
      </c>
      <c r="I21" s="3" t="s">
        <v>208</v>
      </c>
      <c r="J21" s="2" t="s">
        <v>207</v>
      </c>
      <c r="K21" s="73" t="str">
        <f t="shared" si="1"/>
        <v>No Spending</v>
      </c>
      <c r="L21" s="73" t="str">
        <f t="shared" si="2"/>
        <v>No Savings</v>
      </c>
      <c r="M21" s="85"/>
      <c r="N21" s="85"/>
    </row>
    <row r="22" spans="1:14">
      <c r="A22" s="3" t="s">
        <v>169</v>
      </c>
      <c r="B22" s="3" t="s">
        <v>192</v>
      </c>
      <c r="C22" s="81">
        <f>SUM(C15:C21)</f>
        <v>297179</v>
      </c>
      <c r="D22" s="82">
        <f>SUM(D15:D21)</f>
        <v>0</v>
      </c>
      <c r="E22" s="81">
        <f>SUM(E15:E21)</f>
        <v>0</v>
      </c>
      <c r="F22" s="81">
        <f>SUM(F15:F21)</f>
        <v>0</v>
      </c>
      <c r="G22" s="3" t="s">
        <v>170</v>
      </c>
      <c r="H22" s="3" t="s">
        <v>171</v>
      </c>
      <c r="I22" s="3" t="str">
        <f>'Compiled Information'!A48</f>
        <v>Energy Savings Plan</v>
      </c>
      <c r="J22" s="2">
        <v>48</v>
      </c>
      <c r="K22" s="73">
        <f t="shared" si="1"/>
        <v>1</v>
      </c>
      <c r="L22" s="73" t="str">
        <f t="shared" si="2"/>
        <v>No Savings</v>
      </c>
      <c r="M22" s="83">
        <f>'Compiled Information'!AL48</f>
        <v>0.29717900000000003</v>
      </c>
      <c r="N22" s="85">
        <f>'Compiled Information'!AA48</f>
        <v>0</v>
      </c>
    </row>
    <row r="23" spans="1:14">
      <c r="A23" s="3" t="s">
        <v>197</v>
      </c>
      <c r="B23" s="3" t="s">
        <v>198</v>
      </c>
      <c r="C23" s="81">
        <v>25617.1</v>
      </c>
      <c r="D23" s="82">
        <f t="shared" ref="D23:D40" si="3">(E23*3.6+F23)/1000</f>
        <v>0</v>
      </c>
      <c r="E23" s="82">
        <v>0</v>
      </c>
      <c r="F23" s="82">
        <v>0</v>
      </c>
      <c r="G23" s="3" t="s">
        <v>196</v>
      </c>
      <c r="H23" s="3">
        <v>79</v>
      </c>
      <c r="I23" s="3" t="s">
        <v>208</v>
      </c>
      <c r="J23" s="2" t="s">
        <v>207</v>
      </c>
      <c r="K23" s="73" t="str">
        <f t="shared" si="1"/>
        <v>No Spending</v>
      </c>
      <c r="L23" s="73" t="str">
        <f t="shared" si="2"/>
        <v>No Savings</v>
      </c>
      <c r="M23" s="85"/>
      <c r="N23" s="85"/>
    </row>
    <row r="24" spans="1:14">
      <c r="A24" s="3" t="s">
        <v>201</v>
      </c>
      <c r="B24" s="3" t="s">
        <v>202</v>
      </c>
      <c r="C24" s="81">
        <v>47064</v>
      </c>
      <c r="D24" s="82">
        <f t="shared" si="3"/>
        <v>0</v>
      </c>
      <c r="E24" s="82">
        <v>0</v>
      </c>
      <c r="F24" s="82">
        <v>0</v>
      </c>
      <c r="G24" s="3" t="s">
        <v>196</v>
      </c>
      <c r="H24" s="3">
        <v>43</v>
      </c>
      <c r="I24" s="3" t="s">
        <v>208</v>
      </c>
      <c r="J24" s="2" t="s">
        <v>207</v>
      </c>
      <c r="K24" s="73" t="str">
        <f t="shared" si="1"/>
        <v>No Spending</v>
      </c>
      <c r="L24" s="73" t="str">
        <f t="shared" si="2"/>
        <v>No Savings</v>
      </c>
      <c r="M24" s="85"/>
      <c r="N24" s="85"/>
    </row>
    <row r="25" spans="1:14">
      <c r="A25" s="3" t="s">
        <v>203</v>
      </c>
      <c r="B25" s="3" t="s">
        <v>204</v>
      </c>
      <c r="C25" s="81">
        <v>84980</v>
      </c>
      <c r="D25" s="82">
        <f t="shared" si="3"/>
        <v>0</v>
      </c>
      <c r="E25" s="82">
        <v>0</v>
      </c>
      <c r="F25" s="82">
        <v>0</v>
      </c>
      <c r="G25" s="3" t="s">
        <v>196</v>
      </c>
      <c r="H25" s="3">
        <v>39</v>
      </c>
      <c r="I25" s="3" t="s">
        <v>208</v>
      </c>
      <c r="J25" s="2" t="s">
        <v>207</v>
      </c>
      <c r="K25" s="73" t="str">
        <f t="shared" si="1"/>
        <v>No Spending</v>
      </c>
      <c r="L25" s="73" t="str">
        <f t="shared" si="2"/>
        <v>No Savings</v>
      </c>
      <c r="M25" s="85"/>
      <c r="N25" s="85"/>
    </row>
    <row r="26" spans="1:14">
      <c r="A26" s="3" t="s">
        <v>113</v>
      </c>
      <c r="B26" s="3" t="s">
        <v>114</v>
      </c>
      <c r="C26" s="81">
        <v>40000</v>
      </c>
      <c r="D26" s="82">
        <f t="shared" si="3"/>
        <v>0</v>
      </c>
      <c r="E26" s="82">
        <v>0</v>
      </c>
      <c r="F26" s="82">
        <v>0</v>
      </c>
      <c r="G26" s="3" t="s">
        <v>235</v>
      </c>
      <c r="H26" s="3">
        <v>9</v>
      </c>
      <c r="I26" s="3" t="s">
        <v>208</v>
      </c>
      <c r="J26" s="2" t="s">
        <v>207</v>
      </c>
      <c r="K26" s="73" t="str">
        <f t="shared" si="1"/>
        <v>No Spending</v>
      </c>
      <c r="L26" s="73" t="str">
        <f t="shared" si="2"/>
        <v>No Savings</v>
      </c>
      <c r="M26" s="85"/>
      <c r="N26" s="85"/>
    </row>
    <row r="27" spans="1:14">
      <c r="A27" s="3" t="s">
        <v>115</v>
      </c>
      <c r="B27" s="3" t="s">
        <v>129</v>
      </c>
      <c r="C27" s="81">
        <v>50000</v>
      </c>
      <c r="D27" s="82">
        <f t="shared" si="3"/>
        <v>0</v>
      </c>
      <c r="E27" s="82">
        <v>0</v>
      </c>
      <c r="F27" s="82">
        <v>0</v>
      </c>
      <c r="G27" s="3" t="s">
        <v>235</v>
      </c>
      <c r="H27" s="3">
        <v>14</v>
      </c>
      <c r="I27" s="3" t="s">
        <v>208</v>
      </c>
      <c r="J27" s="2" t="s">
        <v>207</v>
      </c>
      <c r="K27" s="73" t="str">
        <f t="shared" si="1"/>
        <v>No Spending</v>
      </c>
      <c r="L27" s="73" t="str">
        <f t="shared" si="2"/>
        <v>No Savings</v>
      </c>
      <c r="M27" s="85"/>
      <c r="N27" s="85"/>
    </row>
    <row r="28" spans="1:14">
      <c r="A28" s="3" t="s">
        <v>130</v>
      </c>
      <c r="B28" s="3" t="s">
        <v>240</v>
      </c>
      <c r="C28" s="81">
        <v>86306.34</v>
      </c>
      <c r="D28" s="82">
        <f t="shared" si="3"/>
        <v>0</v>
      </c>
      <c r="E28" s="82">
        <v>0</v>
      </c>
      <c r="F28" s="82">
        <v>0</v>
      </c>
      <c r="G28" s="3" t="s">
        <v>239</v>
      </c>
      <c r="H28" s="3">
        <v>20</v>
      </c>
      <c r="I28" s="3" t="s">
        <v>208</v>
      </c>
      <c r="J28" s="2" t="s">
        <v>207</v>
      </c>
      <c r="K28" s="73" t="str">
        <f t="shared" si="1"/>
        <v>No Spending</v>
      </c>
      <c r="L28" s="73" t="str">
        <f t="shared" si="2"/>
        <v>No Savings</v>
      </c>
      <c r="M28" s="85"/>
      <c r="N28" s="85"/>
    </row>
    <row r="29" spans="1:14">
      <c r="A29" s="3" t="s">
        <v>131</v>
      </c>
      <c r="B29" s="3" t="s">
        <v>240</v>
      </c>
      <c r="C29" s="81">
        <v>23195</v>
      </c>
      <c r="D29" s="82">
        <f t="shared" si="3"/>
        <v>0</v>
      </c>
      <c r="E29" s="82">
        <v>0</v>
      </c>
      <c r="F29" s="82">
        <v>0</v>
      </c>
      <c r="G29" s="3" t="s">
        <v>239</v>
      </c>
      <c r="H29" s="3">
        <v>22</v>
      </c>
      <c r="I29" s="3" t="s">
        <v>208</v>
      </c>
      <c r="J29" s="2" t="s">
        <v>207</v>
      </c>
      <c r="K29" s="73" t="str">
        <f t="shared" si="1"/>
        <v>No Spending</v>
      </c>
      <c r="L29" s="73" t="str">
        <f t="shared" si="2"/>
        <v>No Savings</v>
      </c>
      <c r="M29" s="85"/>
      <c r="N29" s="85"/>
    </row>
    <row r="30" spans="1:14">
      <c r="A30" s="3" t="s">
        <v>131</v>
      </c>
      <c r="B30" s="3" t="s">
        <v>236</v>
      </c>
      <c r="C30" s="81">
        <v>12500</v>
      </c>
      <c r="D30" s="82">
        <f t="shared" si="3"/>
        <v>0</v>
      </c>
      <c r="E30" s="82">
        <v>0</v>
      </c>
      <c r="F30" s="82">
        <v>0</v>
      </c>
      <c r="G30" s="3" t="s">
        <v>239</v>
      </c>
      <c r="H30" s="3">
        <v>23</v>
      </c>
      <c r="I30" s="3" t="s">
        <v>208</v>
      </c>
      <c r="J30" s="2" t="s">
        <v>207</v>
      </c>
      <c r="K30" s="73" t="str">
        <f t="shared" si="1"/>
        <v>No Spending</v>
      </c>
      <c r="L30" s="73" t="str">
        <f t="shared" si="2"/>
        <v>No Savings</v>
      </c>
      <c r="M30" s="85"/>
      <c r="N30" s="85"/>
    </row>
    <row r="31" spans="1:14">
      <c r="A31" s="3" t="s">
        <v>132</v>
      </c>
      <c r="B31" s="3" t="s">
        <v>121</v>
      </c>
      <c r="C31" s="81">
        <v>17000</v>
      </c>
      <c r="D31" s="82">
        <f t="shared" si="3"/>
        <v>0</v>
      </c>
      <c r="E31" s="82">
        <v>0</v>
      </c>
      <c r="F31" s="82">
        <v>0</v>
      </c>
      <c r="G31" s="3" t="s">
        <v>102</v>
      </c>
      <c r="H31" s="3">
        <v>49</v>
      </c>
      <c r="I31" s="3" t="s">
        <v>208</v>
      </c>
      <c r="J31" s="2" t="s">
        <v>207</v>
      </c>
      <c r="K31" s="73" t="str">
        <f t="shared" si="1"/>
        <v>No Spending</v>
      </c>
      <c r="L31" s="73" t="str">
        <f t="shared" si="2"/>
        <v>No Savings</v>
      </c>
      <c r="M31" s="85"/>
      <c r="N31" s="85"/>
    </row>
    <row r="32" spans="1:14">
      <c r="A32" s="3" t="s">
        <v>133</v>
      </c>
      <c r="B32" s="3" t="s">
        <v>121</v>
      </c>
      <c r="C32" s="81">
        <v>15000</v>
      </c>
      <c r="D32" s="82">
        <f t="shared" si="3"/>
        <v>0</v>
      </c>
      <c r="E32" s="82">
        <v>0</v>
      </c>
      <c r="F32" s="82">
        <v>0</v>
      </c>
      <c r="G32" s="3" t="s">
        <v>102</v>
      </c>
      <c r="H32" s="3">
        <v>50</v>
      </c>
      <c r="I32" s="3" t="s">
        <v>208</v>
      </c>
      <c r="J32" s="2" t="s">
        <v>207</v>
      </c>
      <c r="K32" s="73" t="str">
        <f t="shared" si="1"/>
        <v>No Spending</v>
      </c>
      <c r="L32" s="73" t="str">
        <f t="shared" si="2"/>
        <v>No Savings</v>
      </c>
      <c r="M32" s="85"/>
      <c r="N32" s="85"/>
    </row>
    <row r="33" spans="1:14">
      <c r="A33" s="3" t="s">
        <v>145</v>
      </c>
      <c r="B33" s="3" t="s">
        <v>146</v>
      </c>
      <c r="C33" s="81">
        <v>35642.339999999997</v>
      </c>
      <c r="D33" s="82">
        <f t="shared" si="3"/>
        <v>0</v>
      </c>
      <c r="E33" s="82">
        <v>0</v>
      </c>
      <c r="F33" s="82">
        <v>0</v>
      </c>
      <c r="G33" s="3" t="s">
        <v>104</v>
      </c>
      <c r="H33" s="3">
        <v>63</v>
      </c>
      <c r="I33" s="3" t="s">
        <v>208</v>
      </c>
      <c r="J33" s="2" t="s">
        <v>207</v>
      </c>
      <c r="K33" s="73" t="str">
        <f t="shared" si="1"/>
        <v>No Spending</v>
      </c>
      <c r="L33" s="73" t="str">
        <f t="shared" si="2"/>
        <v>No Savings</v>
      </c>
      <c r="M33" s="85"/>
      <c r="N33" s="85"/>
    </row>
    <row r="34" spans="1:14">
      <c r="A34" s="3" t="s">
        <v>147</v>
      </c>
      <c r="B34" s="3" t="s">
        <v>148</v>
      </c>
      <c r="C34" s="81">
        <v>10000</v>
      </c>
      <c r="D34" s="82">
        <f t="shared" si="3"/>
        <v>0</v>
      </c>
      <c r="E34" s="82">
        <v>0</v>
      </c>
      <c r="F34" s="82">
        <v>0</v>
      </c>
      <c r="G34" s="3" t="s">
        <v>106</v>
      </c>
      <c r="H34" s="3">
        <v>73</v>
      </c>
      <c r="I34" s="3" t="s">
        <v>208</v>
      </c>
      <c r="J34" s="2" t="s">
        <v>207</v>
      </c>
      <c r="K34" s="73" t="str">
        <f t="shared" si="1"/>
        <v>No Spending</v>
      </c>
      <c r="L34" s="73" t="str">
        <f t="shared" si="2"/>
        <v>No Savings</v>
      </c>
      <c r="M34" s="85"/>
      <c r="N34" s="85"/>
    </row>
    <row r="35" spans="1:14">
      <c r="A35" s="3" t="s">
        <v>149</v>
      </c>
      <c r="B35" s="3" t="s">
        <v>151</v>
      </c>
      <c r="C35" s="81">
        <v>48800</v>
      </c>
      <c r="D35" s="82">
        <f t="shared" si="3"/>
        <v>0</v>
      </c>
      <c r="E35" s="82">
        <v>0</v>
      </c>
      <c r="F35" s="82">
        <v>0</v>
      </c>
      <c r="G35" s="3" t="s">
        <v>150</v>
      </c>
      <c r="H35" s="3">
        <v>86</v>
      </c>
      <c r="I35" s="3" t="s">
        <v>208</v>
      </c>
      <c r="J35" s="2" t="s">
        <v>207</v>
      </c>
      <c r="K35" s="73" t="str">
        <f t="shared" si="1"/>
        <v>No Spending</v>
      </c>
      <c r="L35" s="73" t="str">
        <f t="shared" si="2"/>
        <v>No Savings</v>
      </c>
      <c r="M35" s="85"/>
      <c r="N35" s="85"/>
    </row>
    <row r="36" spans="1:14">
      <c r="A36" s="3" t="s">
        <v>183</v>
      </c>
      <c r="B36" s="3" t="s">
        <v>185</v>
      </c>
      <c r="C36" s="81">
        <v>38500</v>
      </c>
      <c r="D36" s="82">
        <f t="shared" si="3"/>
        <v>0</v>
      </c>
      <c r="E36" s="82">
        <v>0</v>
      </c>
      <c r="F36" s="82">
        <v>0</v>
      </c>
      <c r="G36" s="3" t="s">
        <v>184</v>
      </c>
      <c r="H36" s="3">
        <v>92</v>
      </c>
      <c r="I36" s="3" t="s">
        <v>208</v>
      </c>
      <c r="J36" s="2" t="s">
        <v>207</v>
      </c>
      <c r="K36" s="73" t="str">
        <f t="shared" si="1"/>
        <v>No Spending</v>
      </c>
      <c r="L36" s="73" t="str">
        <f t="shared" si="2"/>
        <v>No Savings</v>
      </c>
      <c r="M36" s="85"/>
      <c r="N36" s="85"/>
    </row>
    <row r="37" spans="1:14">
      <c r="A37" s="3" t="s">
        <v>186</v>
      </c>
      <c r="B37" s="3" t="s">
        <v>188</v>
      </c>
      <c r="C37" s="81">
        <v>5000</v>
      </c>
      <c r="D37" s="82">
        <f t="shared" si="3"/>
        <v>0</v>
      </c>
      <c r="E37" s="82">
        <v>0</v>
      </c>
      <c r="F37" s="82">
        <v>0</v>
      </c>
      <c r="G37" s="3" t="s">
        <v>187</v>
      </c>
      <c r="H37" s="3">
        <v>101</v>
      </c>
      <c r="I37" s="3" t="s">
        <v>208</v>
      </c>
      <c r="J37" s="2" t="s">
        <v>207</v>
      </c>
      <c r="K37" s="73" t="str">
        <f t="shared" si="1"/>
        <v>No Spending</v>
      </c>
      <c r="L37" s="73" t="str">
        <f t="shared" si="2"/>
        <v>No Savings</v>
      </c>
      <c r="M37" s="85"/>
      <c r="N37" s="85"/>
    </row>
    <row r="38" spans="1:14">
      <c r="A38" s="3" t="s">
        <v>189</v>
      </c>
      <c r="B38" s="3" t="s">
        <v>190</v>
      </c>
      <c r="C38" s="81">
        <v>70149.25</v>
      </c>
      <c r="D38" s="82">
        <f t="shared" si="3"/>
        <v>0</v>
      </c>
      <c r="E38" s="82">
        <v>0</v>
      </c>
      <c r="F38" s="82">
        <v>0</v>
      </c>
      <c r="G38" s="3" t="s">
        <v>187</v>
      </c>
      <c r="H38" s="3">
        <v>103</v>
      </c>
      <c r="I38" s="3" t="s">
        <v>208</v>
      </c>
      <c r="J38" s="2" t="s">
        <v>207</v>
      </c>
      <c r="K38" s="73" t="str">
        <f t="shared" si="1"/>
        <v>No Spending</v>
      </c>
      <c r="L38" s="73" t="str">
        <f t="shared" si="2"/>
        <v>No Savings</v>
      </c>
      <c r="M38" s="85"/>
      <c r="N38" s="85"/>
    </row>
    <row r="39" spans="1:14">
      <c r="A39" s="3" t="s">
        <v>193</v>
      </c>
      <c r="B39" s="3" t="s">
        <v>190</v>
      </c>
      <c r="C39" s="81">
        <v>25298.17</v>
      </c>
      <c r="D39" s="82">
        <f t="shared" si="3"/>
        <v>0</v>
      </c>
      <c r="E39" s="82">
        <v>0</v>
      </c>
      <c r="F39" s="82">
        <v>0</v>
      </c>
      <c r="G39" s="3" t="s">
        <v>187</v>
      </c>
      <c r="I39" s="3" t="s">
        <v>208</v>
      </c>
      <c r="J39" s="2" t="s">
        <v>207</v>
      </c>
      <c r="K39" s="73" t="str">
        <f t="shared" si="1"/>
        <v>No Spending</v>
      </c>
      <c r="L39" s="73" t="str">
        <f t="shared" si="2"/>
        <v>No Savings</v>
      </c>
      <c r="M39" s="85"/>
      <c r="N39" s="85"/>
    </row>
    <row r="40" spans="1:14">
      <c r="A40" s="3" t="s">
        <v>194</v>
      </c>
      <c r="B40" s="3" t="s">
        <v>195</v>
      </c>
      <c r="C40" s="81">
        <v>9099.36</v>
      </c>
      <c r="D40" s="82">
        <f t="shared" si="3"/>
        <v>0</v>
      </c>
      <c r="E40" s="82">
        <v>0</v>
      </c>
      <c r="F40" s="82">
        <v>0</v>
      </c>
      <c r="G40" s="3" t="s">
        <v>187</v>
      </c>
      <c r="H40" s="3">
        <v>105</v>
      </c>
      <c r="I40" s="3" t="s">
        <v>208</v>
      </c>
      <c r="J40" s="2" t="s">
        <v>207</v>
      </c>
      <c r="K40" s="73" t="str">
        <f t="shared" si="1"/>
        <v>No Spending</v>
      </c>
      <c r="L40" s="73" t="str">
        <f t="shared" si="2"/>
        <v>No Savings</v>
      </c>
      <c r="M40" s="85"/>
      <c r="N40" s="85"/>
    </row>
    <row r="41" spans="1:14" ht="13.5" thickBot="1">
      <c r="A41" s="29" t="s">
        <v>209</v>
      </c>
      <c r="B41" s="29" t="s">
        <v>242</v>
      </c>
      <c r="C41" s="86">
        <f>SUM(C23:C40)</f>
        <v>644151.56000000006</v>
      </c>
      <c r="D41" s="58">
        <f>SUM(D23:D40)</f>
        <v>0</v>
      </c>
      <c r="E41" s="86">
        <f>SUM(E23:E40)</f>
        <v>0</v>
      </c>
      <c r="F41" s="86">
        <f>SUM(F23:F40)</f>
        <v>0</v>
      </c>
      <c r="G41" s="29" t="s">
        <v>170</v>
      </c>
      <c r="H41" s="29" t="s">
        <v>171</v>
      </c>
      <c r="I41" s="29" t="str">
        <f>'Compiled Information'!A51</f>
        <v>OE Spending (no savings)</v>
      </c>
      <c r="J41" s="30">
        <v>51</v>
      </c>
      <c r="K41" s="87">
        <f t="shared" si="1"/>
        <v>0.99999931693140764</v>
      </c>
      <c r="L41" s="87" t="str">
        <f t="shared" si="2"/>
        <v>No Savings</v>
      </c>
      <c r="M41" s="88">
        <f>'Compiled Information'!AL51</f>
        <v>0.64415199999999995</v>
      </c>
      <c r="N41" s="88">
        <f>'Compiled Information'!AA51</f>
        <v>0</v>
      </c>
    </row>
    <row r="42" spans="1:14" ht="13.5" thickTop="1">
      <c r="A42" s="3" t="s">
        <v>74</v>
      </c>
      <c r="C42" s="74">
        <f>SUM(C2:C14,C22,C41)</f>
        <v>2493815.34</v>
      </c>
      <c r="D42" s="82">
        <f>SUM(D2:D14,D22,D41)</f>
        <v>195.07366279999997</v>
      </c>
      <c r="E42" s="74">
        <f>SUM(E2:E14,E22,E41)</f>
        <v>23133.51188888889</v>
      </c>
      <c r="F42" s="74">
        <f>SUM(F2:F14,F22,F41)</f>
        <v>111793.01999999999</v>
      </c>
      <c r="K42" s="73">
        <f t="shared" si="1"/>
        <v>0.76192729673478399</v>
      </c>
      <c r="L42" s="73">
        <f t="shared" si="2"/>
        <v>1.2526244894449348</v>
      </c>
      <c r="M42" s="74">
        <f>SUM(M2:M14,M22,M41)</f>
        <v>3.2730358272858431</v>
      </c>
      <c r="N42" s="74">
        <f>SUM(N2:N14,N22,N41)</f>
        <v>155.73195673864029</v>
      </c>
    </row>
    <row r="43" spans="1:14">
      <c r="K43" s="73"/>
      <c r="L43" s="73"/>
      <c r="M43" s="73"/>
      <c r="N43" s="73"/>
    </row>
    <row r="44" spans="1:14">
      <c r="K44" s="73"/>
      <c r="L44" s="73"/>
      <c r="M44" s="73"/>
      <c r="N44" s="73"/>
    </row>
  </sheetData>
  <phoneticPr fontId="8"/>
  <pageMargins left="0.75" right="0.75" top="1" bottom="1" header="0.5" footer="0.5"/>
  <pageSetup paperSize="0" orientation="portrait" horizontalDpi="4294967292" verticalDpi="4294967292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Parameters</vt:lpstr>
      <vt:lpstr>Summary Sheet</vt:lpstr>
      <vt:lpstr>Compiled Information</vt:lpstr>
      <vt:lpstr>OE Programs</vt:lpstr>
      <vt:lpstr>discount_rate</vt:lpstr>
      <vt:lpstr>GHG_electricity</vt:lpstr>
      <vt:lpstr>GHG_gas</vt:lpstr>
      <vt:lpstr>lifespan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Rivers</dc:creator>
  <cp:lastModifiedBy>jeoneill</cp:lastModifiedBy>
  <dcterms:created xsi:type="dcterms:W3CDTF">2006-06-21T17:38:44Z</dcterms:created>
  <dcterms:modified xsi:type="dcterms:W3CDTF">2013-03-22T00:44:14Z</dcterms:modified>
</cp:coreProperties>
</file>